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ellman\Desktop\Desktop\Budgets\"/>
    </mc:Choice>
  </mc:AlternateContent>
  <xr:revisionPtr revIDLastSave="0" documentId="8_{D1DEE277-CA02-4743-BBE5-E2988653CD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vs actual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'Budget vs actual'!$A:$C,'Budget vs actual'!$3:$3</definedName>
    <definedName name="QB_COLUMN_59200" localSheetId="0" hidden="1">'Budget vs actual'!$D$3</definedName>
    <definedName name="QB_COLUMN_63620" localSheetId="0" hidden="1">'Budget vs actual'!#REF!</definedName>
    <definedName name="QB_COLUMN_76210" localSheetId="0" hidden="1">'Budget vs actual'!$F$3</definedName>
    <definedName name="QB_DATA_0" localSheetId="0" hidden="1">'Budget vs actual'!$5:$5,'Budget vs actual'!$7:$7,'Budget vs actual'!$8:$8,'Budget vs actual'!$9:$9,'Budget vs actual'!$10:$10,'Budget vs actual'!$11:$11,'Budget vs actual'!$12:$12,'Budget vs actual'!$14:$14,'Budget vs actual'!$17:$17,'Budget vs actual'!$18:$18,'Budget vs actual'!$19:$19,'Budget vs actual'!$22:$22,'Budget vs actual'!$23:$23,'Budget vs actual'!$29:$29,'Budget vs actual'!$30:$30,'Budget vs actual'!$31:$31</definedName>
    <definedName name="QB_DATA_1" localSheetId="0" hidden="1">'Budget vs actual'!$32:$32,'Budget vs actual'!$35:$35,'Budget vs actual'!$36:$36,'Budget vs actual'!$37:$37,'Budget vs actual'!$38:$38,'Budget vs actual'!$39:$39,'Budget vs actual'!$40:$40,'Budget vs actual'!$41:$41,'Budget vs actual'!$42:$42,'Budget vs actual'!$43:$43,'Budget vs actual'!$46:$46,'Budget vs actual'!$47:$47,'Budget vs actual'!$48:$48,'Budget vs actual'!$49:$49,'Budget vs actual'!$50:$50,'Budget vs actual'!$51:$51</definedName>
    <definedName name="QB_DATA_2" localSheetId="0" hidden="1">'Budget vs actual'!$52:$52,'Budget vs actual'!$53:$53,'Budget vs actual'!$56:$56,'Budget vs actual'!$57:$57,'Budget vs actual'!$58:$58,'Budget vs actual'!$59:$59,'Budget vs actual'!$60:$60,'Budget vs actual'!$61:$61,'Budget vs actual'!$62:$62,'Budget vs actual'!$63:$63,'Budget vs actual'!$64:$64,'Budget vs actual'!$65:$65,'Budget vs actual'!$66:$66,'Budget vs actual'!$67:$67,'Budget vs actual'!$68:$68,'Budget vs actual'!$69:$69</definedName>
    <definedName name="QB_DATA_3" localSheetId="0" hidden="1">'Budget vs actual'!$70:$70,'Budget vs actual'!$71:$71,'Budget vs actual'!$72:$72,'Budget vs actual'!$73:$73,'Budget vs actual'!$76:$76,'Budget vs actual'!$77:$77,'Budget vs actual'!$78:$78,'Budget vs actual'!$79:$79,'Budget vs actual'!$80:$80,'Budget vs actual'!$81:$81,'Budget vs actual'!$82:$82,'Budget vs actual'!$83:$83,'Budget vs actual'!$84:$84,'Budget vs actual'!$85:$85,'Budget vs actual'!$88:$88,'Budget vs actual'!$89:$89</definedName>
    <definedName name="QB_DATA_4" localSheetId="0" hidden="1">'Budget vs actual'!$90:$90,'Budget vs actual'!$91:$91,'Budget vs actual'!#REF!,'Budget vs actual'!$94:$94,'Budget vs actual'!$95:$95,'Budget vs actual'!$96:$96,'Budget vs actual'!$97:$97,'Budget vs actual'!$98:$98,'Budget vs actual'!$99:$99,'Budget vs actual'!$100:$100,'Budget vs actual'!$101:$101,'Budget vs actual'!$102:$102,'Budget vs actual'!$103:$103,'Budget vs actual'!$104:$104,'Budget vs actual'!$105:$105,'Budget vs actual'!$106:$106</definedName>
    <definedName name="QB_DATA_5" localSheetId="0" hidden="1">'Budget vs actual'!$107:$107,'Budget vs actual'!$108:$108</definedName>
    <definedName name="QB_FORMULA_0" localSheetId="0" hidden="1">'Budget vs actual'!#REF!,'Budget vs actual'!#REF!,'Budget vs actual'!#REF!,'Budget vs actual'!#REF!,'Budget vs actual'!#REF!,'Budget vs actual'!#REF!,'Budget vs actual'!#REF!,'Budget vs actual'!#REF!,'Budget vs actual'!$D$15,'Budget vs actual'!$F$15,'Budget vs actual'!#REF!,'Budget vs actual'!#REF!,'Budget vs actual'!#REF!,'Budget vs actual'!#REF!,'Budget vs actual'!$D$20,'Budget vs actual'!$F$20</definedName>
    <definedName name="QB_FORMULA_1" localSheetId="0" hidden="1">'Budget vs actual'!#REF!,'Budget vs actual'!#REF!,'Budget vs actual'!#REF!,'Budget vs actual'!$D$24,'Budget vs actual'!$F$27,'Budget vs actual'!#REF!,'Budget vs actual'!$D$25,'Budget vs actual'!$F$28,'Budget vs actual'!#REF!,'Budget vs actual'!$D$26,'Budget vs actual'!$F$29,'Budget vs actual'!#REF!,'Budget vs actual'!#REF!,'Budget vs actual'!#REF!,'Budget vs actual'!#REF!,'Budget vs actual'!#REF!</definedName>
    <definedName name="QB_FORMULA_2" localSheetId="0" hidden="1">'Budget vs actual'!$D$33,'Budget vs actual'!$F$36,'Budget vs actual'!#REF!,'Budget vs actual'!#REF!,'Budget vs actual'!#REF!,'Budget vs actual'!#REF!,'Budget vs actual'!#REF!,'Budget vs actual'!#REF!,'Budget vs actual'!#REF!,'Budget vs actual'!#REF!,'Budget vs actual'!#REF!,'Budget vs actual'!#REF!,'Budget vs actual'!$D$44,'Budget vs actual'!$F$47,'Budget vs actual'!#REF!,'Budget vs actual'!#REF!</definedName>
    <definedName name="QB_FORMULA_3" localSheetId="0" hidden="1">'Budget vs actual'!#REF!,'Budget vs actual'!#REF!,'Budget vs actual'!#REF!,'Budget vs actual'!#REF!,'Budget vs actual'!#REF!,'Budget vs actual'!#REF!,'Budget vs actual'!#REF!,'Budget vs actual'!$D$54,'Budget vs actual'!$F$57,'Budget vs actual'!#REF!,'Budget vs actual'!#REF!,'Budget vs actual'!#REF!,'Budget vs actual'!#REF!,'Budget vs actual'!#REF!,'Budget vs actual'!#REF!,'Budget vs actual'!#REF!</definedName>
    <definedName name="QB_FORMULA_4" localSheetId="0" hidden="1">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actual'!$D$74,'Budget vs actual'!$F$77,'Budget vs actual'!#REF!,'Budget vs actual'!#REF!</definedName>
    <definedName name="QB_FORMULA_5" localSheetId="0" hidden="1">'Budget vs actual'!#REF!,'Budget vs actual'!#REF!,'Budget vs actual'!#REF!,'Budget vs actual'!#REF!,'Budget vs actual'!#REF!,'Budget vs actual'!#REF!,'Budget vs actual'!#REF!,'Budget vs actual'!#REF!,'Budget vs actual'!#REF!,'Budget vs actual'!$D$86,'Budget vs actual'!$F$89,'Budget vs actual'!#REF!,'Budget vs actual'!#REF!,'Budget vs actual'!#REF!,'Budget vs actual'!#REF!,'Budget vs actual'!#REF!</definedName>
    <definedName name="QB_FORMULA_6" localSheetId="0" hidden="1">'Budget vs actual'!$D$92,'Budget vs actual'!$F$95,'Budget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actual'!#REF!,'Budget vs actual'!#REF!</definedName>
    <definedName name="QB_FORMULA_7" localSheetId="0" hidden="1">'Budget vs actual'!#REF!,'Budget vs actual'!#REF!,'Budget vs actual'!$D$109,'Budget vs actual'!#REF!,'Budget vs actual'!#REF!,'Budget vs actual'!$D$110,'Budget vs actual'!#REF!,'Budget vs actual'!#REF!,'Budget vs actual'!$D$111,'Budget vs actual'!$F$113,'Budget vs actual'!#REF!</definedName>
    <definedName name="QB_ROW_107340" localSheetId="0" hidden="1">'Budget vs actual'!$C$14</definedName>
    <definedName name="QB_ROW_118240" localSheetId="0" hidden="1">'Budget vs actual'!$C$17</definedName>
    <definedName name="QB_ROW_122240" localSheetId="0" hidden="1">'Budget vs actual'!$C$29</definedName>
    <definedName name="QB_ROW_125240" localSheetId="0" hidden="1">'Budget vs actual'!$C$30</definedName>
    <definedName name="QB_ROW_127240" localSheetId="0" hidden="1">'Budget vs actual'!$C$11</definedName>
    <definedName name="QB_ROW_129240" localSheetId="0" hidden="1">'Budget vs actual'!$C$31</definedName>
    <definedName name="QB_ROW_130240" localSheetId="0" hidden="1">'Budget vs actual'!$C$32</definedName>
    <definedName name="QB_ROW_132240" localSheetId="0" hidden="1">'Budget vs actual'!$C$35</definedName>
    <definedName name="QB_ROW_133240" localSheetId="0" hidden="1">'Budget vs actual'!$C$36</definedName>
    <definedName name="QB_ROW_138240" localSheetId="0" hidden="1">'Budget vs actual'!$C$38</definedName>
    <definedName name="QB_ROW_142030" localSheetId="0" hidden="1">'Budget vs actual'!$B$34</definedName>
    <definedName name="QB_ROW_142330" localSheetId="0" hidden="1">'Budget vs actual'!$B$44</definedName>
    <definedName name="QB_ROW_143030" localSheetId="0" hidden="1">'Budget vs actual'!$B$28</definedName>
    <definedName name="QB_ROW_143330" localSheetId="0" hidden="1">'Budget vs actual'!$B$33</definedName>
    <definedName name="QB_ROW_144240" localSheetId="0" hidden="1">'Budget vs actual'!$C$39</definedName>
    <definedName name="QB_ROW_145240" localSheetId="0" hidden="1">'Budget vs actual'!$C$60</definedName>
    <definedName name="QB_ROW_150240" localSheetId="0" hidden="1">'Budget vs actual'!$C$61</definedName>
    <definedName name="QB_ROW_153240" localSheetId="0" hidden="1">'Budget vs actual'!$C$67</definedName>
    <definedName name="QB_ROW_154240" localSheetId="0" hidden="1">'Budget vs actual'!$C$69</definedName>
    <definedName name="QB_ROW_156030" localSheetId="0" hidden="1">'Budget vs actual'!$B$93</definedName>
    <definedName name="QB_ROW_156330" localSheetId="0" hidden="1">'Budget vs actual'!$B$109</definedName>
    <definedName name="QB_ROW_157240" localSheetId="0" hidden="1">'Budget vs actual'!$C$40</definedName>
    <definedName name="QB_ROW_159240" localSheetId="0" hidden="1">'Budget vs actual'!$C$42</definedName>
    <definedName name="QB_ROW_161240" localSheetId="0" hidden="1">'Budget vs actual'!$C$43</definedName>
    <definedName name="QB_ROW_163030" localSheetId="0" hidden="1">'Budget vs actual'!$B$75</definedName>
    <definedName name="QB_ROW_163330" localSheetId="0" hidden="1">'Budget vs actual'!$B$86</definedName>
    <definedName name="QB_ROW_164240" localSheetId="0" hidden="1">'Budget vs actual'!$C$76</definedName>
    <definedName name="QB_ROW_165240" localSheetId="0" hidden="1">'Budget vs actual'!$C$79</definedName>
    <definedName name="QB_ROW_166240" localSheetId="0" hidden="1">'Budget vs actual'!$C$81</definedName>
    <definedName name="QB_ROW_169240" localSheetId="0" hidden="1">'Budget vs actual'!$C$82</definedName>
    <definedName name="QB_ROW_170240" localSheetId="0" hidden="1">'Budget vs actual'!$C$83</definedName>
    <definedName name="QB_ROW_176240" localSheetId="0" hidden="1">'Budget vs actual'!$C$63</definedName>
    <definedName name="QB_ROW_177240" localSheetId="0" hidden="1">'Budget vs actual'!$C$57</definedName>
    <definedName name="QB_ROW_178240" localSheetId="0" hidden="1">'Budget vs actual'!$C$58</definedName>
    <definedName name="QB_ROW_182240" localSheetId="0" hidden="1">'Budget vs actual'!$C$41</definedName>
    <definedName name="QB_ROW_18301" localSheetId="0" hidden="1">'Budget vs actual'!#REF!</definedName>
    <definedName name="QB_ROW_184240" localSheetId="0" hidden="1">'Budget vs actual'!$C$90</definedName>
    <definedName name="QB_ROW_186240" localSheetId="0" hidden="1">'Budget vs actual'!$C$108</definedName>
    <definedName name="QB_ROW_189240" localSheetId="0" hidden="1">'Budget vs actual'!$C$105</definedName>
    <definedName name="QB_ROW_190030" localSheetId="0" hidden="1">'Budget vs actual'!$B$21</definedName>
    <definedName name="QB_ROW_190240" localSheetId="0" hidden="1">'Budget vs actual'!$C$23</definedName>
    <definedName name="QB_ROW_190330" localSheetId="0" hidden="1">'Budget vs actual'!$B$24</definedName>
    <definedName name="QB_ROW_192230" localSheetId="0" hidden="1">'Budget vs actual'!$B$5</definedName>
    <definedName name="QB_ROW_193030" localSheetId="0" hidden="1">'Budget vs actual'!$B$87</definedName>
    <definedName name="QB_ROW_193330" localSheetId="0" hidden="1">'Budget vs actual'!$B$92</definedName>
    <definedName name="QB_ROW_194240" localSheetId="0" hidden="1">'Budget vs actual'!$C$95</definedName>
    <definedName name="QB_ROW_195240" localSheetId="0" hidden="1">'Budget vs actual'!$C$101</definedName>
    <definedName name="QB_ROW_196340" localSheetId="0" hidden="1">'Budget vs actual'!$C$73</definedName>
    <definedName name="QB_ROW_197030" localSheetId="0" hidden="1">'Budget vs actual'!$B$55</definedName>
    <definedName name="QB_ROW_197330" localSheetId="0" hidden="1">'Budget vs actual'!$B$74</definedName>
    <definedName name="QB_ROW_20022" localSheetId="0" hidden="1">'Budget vs actual'!$A$4</definedName>
    <definedName name="QB_ROW_201240" localSheetId="0" hidden="1">'Budget vs actual'!$C$106</definedName>
    <definedName name="QB_ROW_202240" localSheetId="0" hidden="1">'Budget vs actual'!$C$96</definedName>
    <definedName name="QB_ROW_20322" localSheetId="0" hidden="1">'Budget vs actual'!$A$25</definedName>
    <definedName name="QB_ROW_208240" localSheetId="0" hidden="1">'Budget vs actual'!$C$72</definedName>
    <definedName name="QB_ROW_209240" localSheetId="0" hidden="1">'Budget vs actual'!$C$107</definedName>
    <definedName name="QB_ROW_21022" localSheetId="0" hidden="1">'Budget vs actual'!$A$27</definedName>
    <definedName name="QB_ROW_211240" localSheetId="0" hidden="1">'Budget vs actual'!$C$104</definedName>
    <definedName name="QB_ROW_212030" localSheetId="0" hidden="1">'Budget vs actual'!$B$6</definedName>
    <definedName name="QB_ROW_212330" localSheetId="0" hidden="1">'Budget vs actual'!$B$15</definedName>
    <definedName name="QB_ROW_21322" localSheetId="0" hidden="1">'Budget vs actual'!$A$110</definedName>
    <definedName name="QB_ROW_213240" localSheetId="0" hidden="1">'Budget vs actual'!$C$71</definedName>
    <definedName name="QB_ROW_236240" localSheetId="0" hidden="1">'Budget vs actual'!$C$88</definedName>
    <definedName name="QB_ROW_237240" localSheetId="0" hidden="1">'Budget vs actual'!$C$89</definedName>
    <definedName name="QB_ROW_314240" localSheetId="0" hidden="1">'Budget vs actual'!$C$97</definedName>
    <definedName name="QB_ROW_323240" localSheetId="0" hidden="1">'Budget vs actual'!$C$37</definedName>
    <definedName name="QB_ROW_3340" localSheetId="0" hidden="1">'Budget vs actual'!$C$18</definedName>
    <definedName name="QB_ROW_334240" localSheetId="0" hidden="1">'Budget vs actual'!$C$70</definedName>
    <definedName name="QB_ROW_335240" localSheetId="0" hidden="1">'Budget vs actual'!$C$102</definedName>
    <definedName name="QB_ROW_341240" localSheetId="0" hidden="1">'Budget vs actual'!$C$56</definedName>
    <definedName name="QB_ROW_34240" localSheetId="0" hidden="1">'Budget vs actual'!$C$98</definedName>
    <definedName name="QB_ROW_35240" localSheetId="0" hidden="1">'Budget vs actual'!$C$91</definedName>
    <definedName name="QB_ROW_360240" localSheetId="0" hidden="1">'Budget vs actual'!$C$103</definedName>
    <definedName name="QB_ROW_36240" localSheetId="0" hidden="1">'Budget vs actual'!$C$22</definedName>
    <definedName name="QB_ROW_364240" localSheetId="0" hidden="1">'Budget vs actual'!$C$64</definedName>
    <definedName name="QB_ROW_380030" localSheetId="0" hidden="1">'Budget vs actual'!$B$16</definedName>
    <definedName name="QB_ROW_380240" localSheetId="0" hidden="1">'Budget vs actual'!$C$19</definedName>
    <definedName name="QB_ROW_380330" localSheetId="0" hidden="1">'Budget vs actual'!$B$20</definedName>
    <definedName name="QB_ROW_396240" localSheetId="0" hidden="1">'Budget vs actual'!$C$94</definedName>
    <definedName name="QB_ROW_409240" localSheetId="0" hidden="1">'Budget vs actual'!$C$84</definedName>
    <definedName name="QB_ROW_454240" localSheetId="0" hidden="1">'Budget vs actual'!$C$8</definedName>
    <definedName name="QB_ROW_455240" localSheetId="0" hidden="1">'Budget vs actual'!$C$9</definedName>
    <definedName name="QB_ROW_456240" localSheetId="0" hidden="1">'Budget vs actual'!$C$10</definedName>
    <definedName name="QB_ROW_472240" localSheetId="0" hidden="1">'Budget vs actual'!$C$78</definedName>
    <definedName name="QB_ROW_498240" localSheetId="0" hidden="1">'Budget vs actual'!$C$62</definedName>
    <definedName name="QB_ROW_5240" localSheetId="0" hidden="1">'Budget vs actual'!$C$12</definedName>
    <definedName name="QB_ROW_531240" localSheetId="0" hidden="1">'Budget vs actual'!$C$77</definedName>
    <definedName name="QB_ROW_592240" localSheetId="0" hidden="1">'Budget vs actual'!$C$59</definedName>
    <definedName name="QB_ROW_768240" localSheetId="0" hidden="1">'Budget vs actual'!$C$65</definedName>
    <definedName name="QB_ROW_769240" localSheetId="0" hidden="1">'Budget vs actual'!$C$68</definedName>
    <definedName name="QB_ROW_778240" localSheetId="0" hidden="1">'Budget vs actual'!$C$80</definedName>
    <definedName name="QB_ROW_779240" localSheetId="0" hidden="1">'Budget vs actual'!#REF!</definedName>
    <definedName name="QB_ROW_797240" localSheetId="0" hidden="1">'Budget vs actual'!$C$99</definedName>
    <definedName name="QB_ROW_808240" localSheetId="0" hidden="1">'Budget vs actual'!$C$50</definedName>
    <definedName name="QB_ROW_813240" localSheetId="0" hidden="1">'Budget vs actual'!$C$66</definedName>
    <definedName name="QB_ROW_825030" localSheetId="0" hidden="1">'Budget vs actual'!$B$45</definedName>
    <definedName name="QB_ROW_825330" localSheetId="0" hidden="1">'Budget vs actual'!$B$54</definedName>
    <definedName name="QB_ROW_826240" localSheetId="0" hidden="1">'Budget vs actual'!$C$46</definedName>
    <definedName name="QB_ROW_827240" localSheetId="0" hidden="1">'Budget vs actual'!$C$47</definedName>
    <definedName name="QB_ROW_828240" localSheetId="0" hidden="1">'Budget vs actual'!$C$49</definedName>
    <definedName name="QB_ROW_829240" localSheetId="0" hidden="1">'Budget vs actual'!$C$51</definedName>
    <definedName name="QB_ROW_830240" localSheetId="0" hidden="1">'Budget vs actual'!$C$52</definedName>
    <definedName name="QB_ROW_844240" localSheetId="0" hidden="1">'Budget vs actual'!$C$53</definedName>
    <definedName name="QB_ROW_847240" localSheetId="0" hidden="1">'Budget vs actual'!$C$100</definedName>
    <definedName name="QB_ROW_851240" localSheetId="0" hidden="1">'Budget vs actual'!$C$85</definedName>
    <definedName name="QB_ROW_856240" localSheetId="0" hidden="1">'Budget vs actual'!$C$48</definedName>
    <definedName name="QB_ROW_86311" localSheetId="0" hidden="1">'Budget vs actual'!#REF!</definedName>
    <definedName name="QB_ROW_99240" localSheetId="0" hidden="1">'Budget vs actual'!$C$7</definedName>
    <definedName name="QBCANSUPPORTUPDATE" localSheetId="0">TRUE</definedName>
    <definedName name="QBCOMPANYFILENAME" localSheetId="0">"Q:\Lisa\Habitat vs 19 5.25.2021.QBW"</definedName>
    <definedName name="QBENDDATE" localSheetId="0">20210430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"73ff819a7f1749cd89e247e5e9205a75"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1" l="1"/>
  <c r="F107" i="1"/>
  <c r="F106" i="1"/>
  <c r="F104" i="1"/>
  <c r="F101" i="1"/>
  <c r="F100" i="1"/>
  <c r="F99" i="1"/>
  <c r="F98" i="1"/>
  <c r="F97" i="1"/>
  <c r="F96" i="1"/>
  <c r="F95" i="1"/>
  <c r="F94" i="1"/>
  <c r="F91" i="1"/>
  <c r="F90" i="1"/>
  <c r="F89" i="1"/>
  <c r="F88" i="1"/>
  <c r="F84" i="1"/>
  <c r="F82" i="1"/>
  <c r="F81" i="1"/>
  <c r="F78" i="1"/>
  <c r="F73" i="1"/>
  <c r="F72" i="1"/>
  <c r="F71" i="1"/>
  <c r="F69" i="1"/>
  <c r="F68" i="1"/>
  <c r="F63" i="1"/>
  <c r="F61" i="1"/>
  <c r="F60" i="1"/>
  <c r="F59" i="1"/>
  <c r="F57" i="1"/>
  <c r="F56" i="1"/>
  <c r="F52" i="1"/>
  <c r="F51" i="1"/>
  <c r="F50" i="1"/>
  <c r="F49" i="1"/>
  <c r="F43" i="1"/>
  <c r="F42" i="1"/>
  <c r="F40" i="1"/>
  <c r="F39" i="1"/>
  <c r="F37" i="1"/>
  <c r="F35" i="1"/>
  <c r="F32" i="1"/>
  <c r="F31" i="1"/>
  <c r="F30" i="1"/>
  <c r="F29" i="1"/>
  <c r="F23" i="1"/>
  <c r="F22" i="1"/>
  <c r="F18" i="1"/>
  <c r="F17" i="1"/>
  <c r="F11" i="1"/>
  <c r="F7" i="1"/>
  <c r="F5" i="1"/>
  <c r="F92" i="1" l="1"/>
  <c r="F86" i="1"/>
  <c r="F24" i="1"/>
  <c r="G5" i="1" l="1"/>
  <c r="G35" i="1"/>
  <c r="G19" i="1"/>
  <c r="G77" i="1"/>
  <c r="G85" i="1"/>
  <c r="G9" i="1" l="1"/>
  <c r="G51" i="1"/>
  <c r="G73" i="1"/>
  <c r="G49" i="1"/>
  <c r="G48" i="1"/>
  <c r="G47" i="1"/>
  <c r="G42" i="1"/>
  <c r="G40" i="1"/>
  <c r="G38" i="1"/>
  <c r="G76" i="1"/>
  <c r="G79" i="1"/>
  <c r="G78" i="1"/>
  <c r="G83" i="1"/>
  <c r="G32" i="1"/>
  <c r="G91" i="1"/>
  <c r="G90" i="1"/>
  <c r="G89" i="1"/>
  <c r="G102" i="1"/>
  <c r="G44" i="1" l="1"/>
  <c r="G92" i="1"/>
  <c r="G86" i="1"/>
  <c r="G30" i="1"/>
  <c r="G31" i="1"/>
  <c r="G95" i="1"/>
  <c r="I95" i="1" s="1"/>
  <c r="G105" i="1"/>
  <c r="I105" i="1" s="1"/>
  <c r="G108" i="1"/>
  <c r="G106" i="1"/>
  <c r="I102" i="1"/>
  <c r="G101" i="1"/>
  <c r="I107" i="1"/>
  <c r="I104" i="1"/>
  <c r="I103" i="1"/>
  <c r="I100" i="1"/>
  <c r="I99" i="1"/>
  <c r="I98" i="1"/>
  <c r="I97" i="1"/>
  <c r="I96" i="1"/>
  <c r="I94" i="1"/>
  <c r="I91" i="1"/>
  <c r="I90" i="1"/>
  <c r="I89" i="1"/>
  <c r="I88" i="1"/>
  <c r="I85" i="1"/>
  <c r="I84" i="1"/>
  <c r="I83" i="1"/>
  <c r="I82" i="1"/>
  <c r="I81" i="1"/>
  <c r="I80" i="1"/>
  <c r="I79" i="1"/>
  <c r="I78" i="1"/>
  <c r="I77" i="1"/>
  <c r="I76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3" i="1"/>
  <c r="I52" i="1"/>
  <c r="I51" i="1"/>
  <c r="I49" i="1"/>
  <c r="I48" i="1"/>
  <c r="I47" i="1"/>
  <c r="I46" i="1"/>
  <c r="I32" i="1"/>
  <c r="I29" i="1"/>
  <c r="I43" i="1"/>
  <c r="I42" i="1"/>
  <c r="I41" i="1"/>
  <c r="I40" i="1"/>
  <c r="I39" i="1"/>
  <c r="I38" i="1"/>
  <c r="J37" i="1"/>
  <c r="I37" i="1"/>
  <c r="I36" i="1"/>
  <c r="I35" i="1"/>
  <c r="G50" i="1"/>
  <c r="G20" i="1"/>
  <c r="I23" i="1"/>
  <c r="I22" i="1"/>
  <c r="I18" i="1"/>
  <c r="I17" i="1"/>
  <c r="J11" i="1"/>
  <c r="J13" i="1"/>
  <c r="I8" i="1"/>
  <c r="I9" i="1"/>
  <c r="I10" i="1"/>
  <c r="I11" i="1"/>
  <c r="I12" i="1"/>
  <c r="I13" i="1"/>
  <c r="I14" i="1"/>
  <c r="I7" i="1"/>
  <c r="G15" i="1"/>
  <c r="F15" i="1"/>
  <c r="F109" i="1"/>
  <c r="F74" i="1"/>
  <c r="F54" i="1"/>
  <c r="F44" i="1"/>
  <c r="F33" i="1"/>
  <c r="F20" i="1"/>
  <c r="E23" i="1"/>
  <c r="J23" i="1" s="1"/>
  <c r="E35" i="1"/>
  <c r="J35" i="1" s="1"/>
  <c r="E5" i="1"/>
  <c r="E94" i="1"/>
  <c r="J94" i="1" s="1"/>
  <c r="E95" i="1"/>
  <c r="E96" i="1"/>
  <c r="J96" i="1" s="1"/>
  <c r="E97" i="1"/>
  <c r="J97" i="1" s="1"/>
  <c r="E98" i="1"/>
  <c r="J98" i="1" s="1"/>
  <c r="E99" i="1"/>
  <c r="J99" i="1" s="1"/>
  <c r="E100" i="1"/>
  <c r="J100" i="1" s="1"/>
  <c r="E101" i="1"/>
  <c r="E102" i="1"/>
  <c r="E103" i="1"/>
  <c r="J103" i="1" s="1"/>
  <c r="E104" i="1"/>
  <c r="J104" i="1" s="1"/>
  <c r="E105" i="1"/>
  <c r="E106" i="1"/>
  <c r="E107" i="1"/>
  <c r="J107" i="1" s="1"/>
  <c r="E108" i="1"/>
  <c r="E91" i="1"/>
  <c r="J91" i="1" s="1"/>
  <c r="E90" i="1"/>
  <c r="J90" i="1" s="1"/>
  <c r="E89" i="1"/>
  <c r="J89" i="1" s="1"/>
  <c r="E88" i="1"/>
  <c r="J88" i="1" s="1"/>
  <c r="D86" i="1"/>
  <c r="D74" i="1"/>
  <c r="E77" i="1"/>
  <c r="J77" i="1" s="1"/>
  <c r="E78" i="1"/>
  <c r="J78" i="1" s="1"/>
  <c r="E79" i="1"/>
  <c r="J79" i="1" s="1"/>
  <c r="E80" i="1"/>
  <c r="J80" i="1" s="1"/>
  <c r="E81" i="1"/>
  <c r="J81" i="1" s="1"/>
  <c r="E82" i="1"/>
  <c r="J82" i="1" s="1"/>
  <c r="E83" i="1"/>
  <c r="J83" i="1" s="1"/>
  <c r="E84" i="1"/>
  <c r="J84" i="1" s="1"/>
  <c r="E85" i="1"/>
  <c r="J85" i="1" s="1"/>
  <c r="E76" i="1"/>
  <c r="J76" i="1" s="1"/>
  <c r="E58" i="1"/>
  <c r="J58" i="1" s="1"/>
  <c r="E59" i="1"/>
  <c r="J59" i="1" s="1"/>
  <c r="E60" i="1"/>
  <c r="J60" i="1" s="1"/>
  <c r="E61" i="1"/>
  <c r="J61" i="1" s="1"/>
  <c r="E62" i="1"/>
  <c r="J62" i="1" s="1"/>
  <c r="E63" i="1"/>
  <c r="J63" i="1" s="1"/>
  <c r="E64" i="1"/>
  <c r="J64" i="1" s="1"/>
  <c r="E65" i="1"/>
  <c r="J65" i="1" s="1"/>
  <c r="E66" i="1"/>
  <c r="J66" i="1" s="1"/>
  <c r="E67" i="1"/>
  <c r="J67" i="1" s="1"/>
  <c r="E68" i="1"/>
  <c r="J68" i="1" s="1"/>
  <c r="E69" i="1"/>
  <c r="J69" i="1" s="1"/>
  <c r="E70" i="1"/>
  <c r="J70" i="1" s="1"/>
  <c r="E71" i="1"/>
  <c r="J71" i="1" s="1"/>
  <c r="E72" i="1"/>
  <c r="J72" i="1" s="1"/>
  <c r="E73" i="1"/>
  <c r="E57" i="1"/>
  <c r="J57" i="1" s="1"/>
  <c r="E56" i="1"/>
  <c r="J56" i="1" s="1"/>
  <c r="E51" i="1"/>
  <c r="J51" i="1" s="1"/>
  <c r="E52" i="1"/>
  <c r="J52" i="1" s="1"/>
  <c r="E53" i="1"/>
  <c r="J53" i="1" s="1"/>
  <c r="E50" i="1"/>
  <c r="E49" i="1"/>
  <c r="J49" i="1" s="1"/>
  <c r="E48" i="1"/>
  <c r="J48" i="1" s="1"/>
  <c r="E47" i="1"/>
  <c r="J47" i="1" s="1"/>
  <c r="E46" i="1"/>
  <c r="J46" i="1" s="1"/>
  <c r="D44" i="1"/>
  <c r="E39" i="1"/>
  <c r="J39" i="1" s="1"/>
  <c r="E40" i="1"/>
  <c r="J40" i="1" s="1"/>
  <c r="E41" i="1"/>
  <c r="J41" i="1" s="1"/>
  <c r="E42" i="1"/>
  <c r="J42" i="1" s="1"/>
  <c r="E43" i="1"/>
  <c r="J43" i="1" s="1"/>
  <c r="E38" i="1"/>
  <c r="J38" i="1" s="1"/>
  <c r="E36" i="1"/>
  <c r="J36" i="1" s="1"/>
  <c r="E32" i="1"/>
  <c r="J32" i="1" s="1"/>
  <c r="E31" i="1"/>
  <c r="E30" i="1"/>
  <c r="E29" i="1"/>
  <c r="J29" i="1" s="1"/>
  <c r="E22" i="1"/>
  <c r="E19" i="1"/>
  <c r="E18" i="1"/>
  <c r="J18" i="1" s="1"/>
  <c r="E17" i="1"/>
  <c r="J17" i="1" s="1"/>
  <c r="E7" i="1"/>
  <c r="J7" i="1" s="1"/>
  <c r="D11" i="1"/>
  <c r="D15" i="1" s="1"/>
  <c r="E12" i="1"/>
  <c r="J12" i="1" s="1"/>
  <c r="E14" i="1"/>
  <c r="J14" i="1" s="1"/>
  <c r="E8" i="1"/>
  <c r="J8" i="1" s="1"/>
  <c r="E9" i="1"/>
  <c r="J9" i="1" s="1"/>
  <c r="E10" i="1"/>
  <c r="J10" i="1" s="1"/>
  <c r="D109" i="1"/>
  <c r="D92" i="1"/>
  <c r="D54" i="1"/>
  <c r="D33" i="1"/>
  <c r="D24" i="1"/>
  <c r="D20" i="1"/>
  <c r="I24" i="1" l="1"/>
  <c r="F25" i="1"/>
  <c r="F26" i="1" s="1"/>
  <c r="J31" i="1"/>
  <c r="J30" i="1"/>
  <c r="G33" i="1"/>
  <c r="J105" i="1"/>
  <c r="I19" i="1"/>
  <c r="I30" i="1"/>
  <c r="I31" i="1"/>
  <c r="J73" i="1"/>
  <c r="G74" i="1"/>
  <c r="G25" i="1"/>
  <c r="J50" i="1"/>
  <c r="J54" i="1" s="1"/>
  <c r="J101" i="1"/>
  <c r="J108" i="1"/>
  <c r="I44" i="1"/>
  <c r="J95" i="1"/>
  <c r="J44" i="1"/>
  <c r="I73" i="1"/>
  <c r="E24" i="1"/>
  <c r="I108" i="1"/>
  <c r="I15" i="1"/>
  <c r="I25" i="1" s="1"/>
  <c r="I26" i="1" s="1"/>
  <c r="G54" i="1"/>
  <c r="J106" i="1"/>
  <c r="I50" i="1"/>
  <c r="I54" i="1" s="1"/>
  <c r="G109" i="1"/>
  <c r="I106" i="1"/>
  <c r="J102" i="1"/>
  <c r="I101" i="1"/>
  <c r="J15" i="1"/>
  <c r="E15" i="1"/>
  <c r="J19" i="1"/>
  <c r="J22" i="1"/>
  <c r="J24" i="1" s="1"/>
  <c r="E86" i="1"/>
  <c r="E74" i="1"/>
  <c r="E54" i="1"/>
  <c r="F110" i="1"/>
  <c r="E33" i="1"/>
  <c r="E44" i="1"/>
  <c r="D110" i="1"/>
  <c r="D25" i="1"/>
  <c r="D26" i="1" s="1"/>
  <c r="H23" i="1" l="1"/>
  <c r="H5" i="1"/>
  <c r="J33" i="1"/>
  <c r="I33" i="1"/>
  <c r="G26" i="1"/>
  <c r="H15" i="1"/>
  <c r="E25" i="1"/>
  <c r="E26" i="1" s="1"/>
  <c r="H20" i="1"/>
  <c r="J25" i="1"/>
  <c r="J26" i="1" s="1"/>
  <c r="G110" i="1"/>
  <c r="F111" i="1"/>
  <c r="D111" i="1"/>
  <c r="H74" i="1" l="1"/>
  <c r="G111" i="1"/>
  <c r="H54" i="1"/>
  <c r="H44" i="1"/>
  <c r="H33" i="1"/>
  <c r="H86" i="1"/>
  <c r="H109" i="1"/>
  <c r="H92" i="1"/>
</calcChain>
</file>

<file path=xl/sharedStrings.xml><?xml version="1.0" encoding="utf-8"?>
<sst xmlns="http://schemas.openxmlformats.org/spreadsheetml/2006/main" count="169" uniqueCount="151">
  <si>
    <t>Jul '20 - Apr 21</t>
  </si>
  <si>
    <t>Income</t>
  </si>
  <si>
    <t>4000 · Gross Sales of Homes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</si>
  <si>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</si>
  <si>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</si>
  <si>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</si>
  <si>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</si>
  <si>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</si>
  <si>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4400 · Government Grants</t>
  </si>
  <si>
    <t>4450 · Gifts in Kind Donations</t>
  </si>
  <si>
    <t>4800 · Special Event Donations</t>
  </si>
  <si>
    <t>Total 4005 · Donations</t>
  </si>
  <si>
    <t>4900 · Other Income</t>
  </si>
  <si>
    <t>4902 · Cash Purhcase Discounts</t>
  </si>
  <si>
    <t>Interest Income</t>
  </si>
  <si>
    <t>4900 · Other Income - Other</t>
  </si>
  <si>
    <t>Total 4900 · Other Income</t>
  </si>
  <si>
    <t>4990 · ReStore Sales</t>
  </si>
  <si>
    <t>4991 · ReStore-Cash Donations</t>
  </si>
  <si>
    <t>4990 · ReStore Sales - Other</t>
  </si>
  <si>
    <t>Total 4990 · ReStore Sales</t>
  </si>
  <si>
    <t>Total Income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</si>
  <si>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</si>
  <si>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</si>
  <si>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</si>
  <si>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</si>
  <si>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</si>
  <si>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</si>
  <si>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</si>
  <si>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</si>
  <si>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5200 · Const-Direct Cost of Homes</t>
  </si>
  <si>
    <t>5210 · Warranty Repairs</t>
  </si>
  <si>
    <t>5215 · Closing Costs</t>
  </si>
  <si>
    <t>5510 · Hospitality</t>
  </si>
  <si>
    <t>5560 · Equip Maint &amp; Repair</t>
  </si>
  <si>
    <t>5655 · Supplies</t>
  </si>
  <si>
    <t>5665 · Sales Tax Paid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</si>
  <si>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</si>
  <si>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</si>
  <si>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</si>
  <si>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</si>
  <si>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</si>
  <si>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</si>
  <si>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</si>
  <si>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</si>
  <si>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</si>
  <si>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</si>
  <si>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</si>
  <si>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</si>
  <si>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</si>
  <si>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5500 · General and Administrative</t>
  </si>
  <si>
    <t>5525 · Tithe Program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</si>
  <si>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</si>
  <si>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</si>
  <si>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</si>
  <si>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</si>
  <si>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</si>
  <si>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</si>
  <si>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</si>
  <si>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</si>
  <si>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5602 · Brand fee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</si>
  <si>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</si>
  <si>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</si>
  <si>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</si>
  <si>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</si>
  <si>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</si>
  <si>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</si>
  <si>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</si>
  <si>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</si>
  <si>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</si>
  <si>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</si>
  <si>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7510 · Dev-Hospitality</t>
  </si>
  <si>
    <t>7520 · Dev-Trng/Prof Dev</t>
  </si>
  <si>
    <t>7540 · Dev-Fees &amp; Memberships</t>
  </si>
  <si>
    <t>7570 · Dev-Event Costs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</si>
  <si>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</si>
  <si>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</si>
  <si>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</si>
  <si>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</si>
  <si>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</si>
  <si>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</si>
  <si>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</si>
  <si>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</si>
  <si>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</si>
  <si>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</si>
  <si>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</si>
  <si>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</si>
  <si>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</si>
  <si>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</si>
  <si>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9504 · ReStore-Rent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</si>
  <si>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</si>
  <si>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</si>
  <si>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</si>
  <si>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</si>
  <si>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</si>
  <si>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</si>
  <si>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</si>
  <si>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</si>
  <si>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</si>
  <si>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</si>
  <si>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</si>
  <si>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</si>
  <si>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</si>
  <si>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</si>
  <si>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</si>
  <si>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</si>
  <si>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Projected profit and loss based on April</t>
  </si>
  <si>
    <t>2021-2022 Budget</t>
  </si>
  <si>
    <t>Increase (Decrease) over prior Budget</t>
  </si>
  <si>
    <t>Increase (Decrease) over projected</t>
  </si>
  <si>
    <t>4451 · DIrect Mail</t>
  </si>
  <si>
    <t>New computer for ReStore</t>
  </si>
  <si>
    <t xml:space="preserve">  </t>
  </si>
  <si>
    <t>(1)</t>
  </si>
  <si>
    <t>(2)</t>
  </si>
  <si>
    <t>(3)</t>
  </si>
  <si>
    <t>(4)</t>
  </si>
  <si>
    <t>4900 · Other Income - Other - includes PPP loan forgiveness</t>
  </si>
  <si>
    <t>4000  Gross Sale of Homes - 3 market rate houses at 190,000 4 Habitat house at 140,000</t>
  </si>
  <si>
    <t>4005 · Donations - increased slightly with a focus on increasing donations from corporations and chruches</t>
  </si>
  <si>
    <t>2020-2021 Budget</t>
  </si>
  <si>
    <t>Habitat for Humanity of Catawba Valley, Inc</t>
  </si>
  <si>
    <t>4990  ReStore Sales - Projected sales to return close to normal.  Projected sales to be $77,000 average per month</t>
  </si>
  <si>
    <t>(a)</t>
  </si>
  <si>
    <t>5200 · Const-Direct Cost of Homes - 7 homes at 150,000 each</t>
  </si>
  <si>
    <t>(b)</t>
  </si>
  <si>
    <t xml:space="preserve">5354 Project expenses - projected to be closer to 2019-2020 year end, due to COVID restrictions </t>
  </si>
  <si>
    <t>(C)</t>
  </si>
  <si>
    <t>(c)</t>
  </si>
  <si>
    <t>5215 · Closing Costs - increase related to market rate home closings</t>
  </si>
  <si>
    <t>(d)</t>
  </si>
  <si>
    <t>(e)</t>
  </si>
  <si>
    <t>(f)</t>
  </si>
  <si>
    <t>(g)</t>
  </si>
  <si>
    <t>(h)</t>
  </si>
  <si>
    <t>(i)</t>
  </si>
  <si>
    <t>(j)</t>
  </si>
  <si>
    <t>(k)</t>
  </si>
  <si>
    <t>7510 · Dev-Hospitality - dedication expenses and stewardship gifts</t>
  </si>
  <si>
    <t>5645 · Professional Fees - remain similar to the budget because projected does not include Whisnant &amp; Co bill</t>
  </si>
  <si>
    <t>6500 · Family Services - new software to automate home owner demographics</t>
  </si>
  <si>
    <t>7570 · Dev-Event Costs - Includes Home is the Key, 2 stewardship events and 4 dedications</t>
  </si>
  <si>
    <t>7890 · Dev- Consulting -  Consulting for  grantwritting and research</t>
  </si>
  <si>
    <t>9560 · ReStore- General Maintenance - general needed repairs</t>
  </si>
  <si>
    <t xml:space="preserve">9610 · ReStore-Other Expense - contract labor is now included with payroll </t>
  </si>
  <si>
    <t xml:space="preserve">9625 · ReStore-Advertising - consulting regarding website and ReStore postcards </t>
  </si>
  <si>
    <t>#</t>
  </si>
  <si>
    <t>5302 · Construction-Salaries and Wages - includes replacing a previous employee and various pay raises</t>
  </si>
  <si>
    <t>5302 · Repairs-Salaries and Wages - includes pay raises</t>
  </si>
  <si>
    <t>9002 · ReStore-Salaries and wages - includes a new hire (previously contract labor) and various pay raises</t>
  </si>
  <si>
    <t>Memo:  Payroll benefits and ReStore sales tax is based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</si>
</sst>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;\-#,##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9"/>
      <color theme="8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0" fillId="0" borderId="0" xfId="0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164" fontId="4" fillId="0" borderId="0" xfId="0" applyNumberFormat="1" applyFont="1"/>
    <xf numFmtId="49" fontId="1" fillId="0" borderId="0" xfId="0" applyNumberFormat="1" applyFont="1" applyFill="1"/>
    <xf numFmtId="9" fontId="0" fillId="0" borderId="0" xfId="0" applyNumberFormat="1" applyAlignment="1">
      <alignment horizontal="left"/>
    </xf>
    <xf numFmtId="0" fontId="6" fillId="0" borderId="0" xfId="0" applyFont="1"/>
    <xf numFmtId="164" fontId="2" fillId="0" borderId="0" xfId="0" applyNumberFormat="1" applyFont="1" applyFill="1"/>
    <xf numFmtId="9" fontId="2" fillId="0" borderId="0" xfId="2" applyFont="1"/>
    <xf numFmtId="164" fontId="2" fillId="0" borderId="2" xfId="0" applyNumberFormat="1" applyFont="1" applyFill="1" applyBorder="1"/>
    <xf numFmtId="9" fontId="2" fillId="0" borderId="0" xfId="2" applyFont="1" applyAlignment="1">
      <alignment horizontal="left"/>
    </xf>
    <xf numFmtId="49" fontId="1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ill="1"/>
    <xf numFmtId="164" fontId="7" fillId="0" borderId="0" xfId="0" quotePrefix="1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/>
    <xf numFmtId="49" fontId="1" fillId="0" borderId="1" xfId="0" applyNumberFormat="1" applyFont="1" applyBorder="1" applyAlignment="1">
      <alignment horizontal="center"/>
    </xf>
    <xf numFmtId="164" fontId="8" fillId="0" borderId="0" xfId="0" quotePrefix="1" applyNumberFormat="1" applyFont="1" applyAlignment="1">
      <alignment horizontal="center"/>
    </xf>
    <xf numFmtId="0" fontId="6" fillId="0" borderId="0" xfId="0" applyFont="1" applyFill="1"/>
    <xf numFmtId="165" fontId="2" fillId="0" borderId="0" xfId="0" applyNumberFormat="1" applyFont="1"/>
    <xf numFmtId="165" fontId="2" fillId="0" borderId="0" xfId="0" applyNumberFormat="1" applyFont="1" applyFill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Fill="1" applyBorder="1"/>
    <xf numFmtId="165" fontId="2" fillId="0" borderId="2" xfId="0" applyNumberFormat="1" applyFont="1" applyFill="1" applyBorder="1"/>
    <xf numFmtId="164" fontId="9" fillId="0" borderId="0" xfId="0" applyNumberFormat="1" applyFont="1" applyAlignment="1">
      <alignment horizontal="center"/>
    </xf>
    <xf numFmtId="49" fontId="2" fillId="0" borderId="0" xfId="0" applyNumberFormat="1" applyFont="1"/>
  </cellXfs>
  <cellStyles count="3"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670560</xdr:colOff>
          <xdr:row>2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670560</xdr:colOff>
          <xdr:row>2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135"/>
  <sheetViews>
    <sheetView tabSelected="1" workbookViewId="0">
      <selection activeCell="J88" sqref="J88"/>
    </sheetView>
  </sheetViews>
  <sheetFormatPr defaultRowHeight="14.4" x14ac:dyDescent="0.3"/>
  <cols>
    <col min="1" max="1" width="1" style="11" customWidth="1"/>
    <col min="2" max="2" width="2.6640625" style="11" customWidth="1"/>
    <col min="3" max="3" width="30.88671875" style="11" customWidth="1"/>
    <col min="4" max="4" width="10.5546875" style="12" customWidth="1"/>
    <col min="5" max="5" width="10.33203125" style="12" customWidth="1"/>
    <col min="6" max="6" width="8.5546875" style="21" customWidth="1"/>
    <col min="7" max="7" width="10" style="19" customWidth="1"/>
    <col min="8" max="8" width="4.44140625" customWidth="1"/>
    <col min="9" max="9" width="11.33203125" style="21" customWidth="1"/>
    <col min="10" max="10" width="9.88671875" style="19" customWidth="1"/>
    <col min="11" max="11" width="4" customWidth="1"/>
  </cols>
  <sheetData>
    <row r="1" spans="1:14" s="21" customFormat="1" x14ac:dyDescent="0.3">
      <c r="A1" s="11"/>
      <c r="B1" s="11"/>
      <c r="C1" s="11" t="s">
        <v>121</v>
      </c>
      <c r="D1" s="19"/>
      <c r="E1" s="19"/>
      <c r="G1" s="19"/>
      <c r="J1" s="19"/>
    </row>
    <row r="2" spans="1:14" s="21" customFormat="1" x14ac:dyDescent="0.3">
      <c r="A2" s="11"/>
      <c r="B2" s="11"/>
      <c r="C2" s="11" t="s">
        <v>107</v>
      </c>
      <c r="D2" s="19"/>
      <c r="E2" s="19"/>
      <c r="G2" s="19"/>
      <c r="J2" s="19"/>
    </row>
    <row r="3" spans="1:14" s="10" customFormat="1" ht="47.25" customHeight="1" thickBot="1" x14ac:dyDescent="0.35">
      <c r="A3" s="9"/>
      <c r="B3" s="9"/>
      <c r="C3" s="9"/>
      <c r="D3" s="41" t="s">
        <v>0</v>
      </c>
      <c r="E3" s="20" t="s">
        <v>106</v>
      </c>
      <c r="F3" s="20" t="s">
        <v>120</v>
      </c>
      <c r="G3" s="20" t="s">
        <v>107</v>
      </c>
      <c r="I3" s="20" t="s">
        <v>108</v>
      </c>
      <c r="J3" s="20" t="s">
        <v>109</v>
      </c>
    </row>
    <row r="4" spans="1:14" ht="15" thickTop="1" x14ac:dyDescent="0.3">
      <c r="A4" s="1" t="s">
        <v>1</v>
      </c>
      <c r="B4" s="1"/>
      <c r="C4" s="1"/>
      <c r="D4" s="2"/>
      <c r="E4" s="14"/>
      <c r="F4" s="22"/>
      <c r="G4" s="14"/>
      <c r="I4" s="22"/>
      <c r="J4" s="22"/>
    </row>
    <row r="5" spans="1:14" x14ac:dyDescent="0.3">
      <c r="A5" s="1"/>
      <c r="B5" s="1" t="s">
        <v>2</v>
      </c>
      <c r="C5" s="1"/>
      <c r="D5" s="2">
        <v>121048</v>
      </c>
      <c r="E5" s="14">
        <f>+D5+120000</f>
        <v>241048</v>
      </c>
      <c r="F5" s="44">
        <f>(127309*6)</f>
        <v>763854</v>
      </c>
      <c r="G5" s="45">
        <f>(3*190000)+(4*140000)</f>
        <v>1130000</v>
      </c>
      <c r="H5" s="32">
        <f>+G5/G25</f>
        <v>0.36430459733058224</v>
      </c>
      <c r="I5" s="31">
        <v>-416146</v>
      </c>
      <c r="J5" s="31">
        <v>189454</v>
      </c>
      <c r="K5" s="38" t="s">
        <v>113</v>
      </c>
      <c r="N5" s="30"/>
    </row>
    <row r="6" spans="1:14" x14ac:dyDescent="0.3">
      <c r="A6" s="1"/>
      <c r="B6" s="1" t="s">
        <v>3</v>
      </c>
      <c r="C6" s="1"/>
      <c r="D6" s="2"/>
      <c r="E6" s="14"/>
      <c r="F6" s="44"/>
      <c r="G6" s="44"/>
      <c r="I6" s="22"/>
      <c r="J6" s="22"/>
    </row>
    <row r="7" spans="1:14" x14ac:dyDescent="0.3">
      <c r="A7" s="1"/>
      <c r="B7" s="1"/>
      <c r="C7" s="1" t="s">
        <v>4</v>
      </c>
      <c r="D7" s="2">
        <v>333702.95</v>
      </c>
      <c r="E7" s="14">
        <f>+D7+20000</f>
        <v>353702.95</v>
      </c>
      <c r="F7" s="44">
        <f>170000+60000</f>
        <v>230000</v>
      </c>
      <c r="G7" s="44">
        <v>365000</v>
      </c>
      <c r="I7" s="22">
        <f>+G7-F7</f>
        <v>135000</v>
      </c>
      <c r="J7" s="22">
        <f>+G7-E7</f>
        <v>11297.049999999988</v>
      </c>
    </row>
    <row r="8" spans="1:14" x14ac:dyDescent="0.3">
      <c r="A8" s="1"/>
      <c r="B8" s="1"/>
      <c r="C8" s="1" t="s">
        <v>5</v>
      </c>
      <c r="D8" s="2">
        <v>24439</v>
      </c>
      <c r="E8" s="22">
        <f t="shared" ref="E8:E10" si="0">+D8/10*12</f>
        <v>29326.800000000003</v>
      </c>
      <c r="F8" s="44">
        <v>100000</v>
      </c>
      <c r="G8" s="44">
        <v>50000</v>
      </c>
      <c r="I8" s="22">
        <f t="shared" ref="I8:I14" si="1">+G8-F8</f>
        <v>-50000</v>
      </c>
      <c r="J8" s="22">
        <f t="shared" ref="J8:J14" si="2">+G8-E8</f>
        <v>20673.199999999997</v>
      </c>
    </row>
    <row r="9" spans="1:14" x14ac:dyDescent="0.3">
      <c r="A9" s="1"/>
      <c r="B9" s="1"/>
      <c r="C9" s="1" t="s">
        <v>6</v>
      </c>
      <c r="D9" s="2">
        <v>41363.199999999997</v>
      </c>
      <c r="E9" s="22">
        <f t="shared" si="0"/>
        <v>49635.839999999997</v>
      </c>
      <c r="F9" s="44">
        <v>100000</v>
      </c>
      <c r="G9" s="44">
        <f>75000+25000</f>
        <v>100000</v>
      </c>
      <c r="I9" s="22">
        <f t="shared" si="1"/>
        <v>0</v>
      </c>
      <c r="J9" s="22">
        <f t="shared" si="2"/>
        <v>50364.160000000003</v>
      </c>
    </row>
    <row r="10" spans="1:14" x14ac:dyDescent="0.3">
      <c r="A10" s="1"/>
      <c r="B10" s="1"/>
      <c r="C10" s="1" t="s">
        <v>7</v>
      </c>
      <c r="D10" s="2">
        <v>328997.2</v>
      </c>
      <c r="E10" s="22">
        <f t="shared" si="0"/>
        <v>394796.64</v>
      </c>
      <c r="F10" s="44">
        <v>275000</v>
      </c>
      <c r="G10" s="44">
        <v>350000</v>
      </c>
      <c r="I10" s="22">
        <f t="shared" si="1"/>
        <v>75000</v>
      </c>
      <c r="J10" s="22">
        <f t="shared" si="2"/>
        <v>-44796.640000000014</v>
      </c>
    </row>
    <row r="11" spans="1:14" x14ac:dyDescent="0.3">
      <c r="A11" s="1"/>
      <c r="B11" s="1"/>
      <c r="C11" s="1" t="s">
        <v>8</v>
      </c>
      <c r="D11" s="2">
        <f>41000-20000</f>
        <v>21000</v>
      </c>
      <c r="E11" s="22">
        <v>21000</v>
      </c>
      <c r="F11" s="44">
        <f>+(100000)+(38750*4)</f>
        <v>255000</v>
      </c>
      <c r="G11" s="44">
        <v>45000</v>
      </c>
      <c r="I11" s="22">
        <f t="shared" si="1"/>
        <v>-210000</v>
      </c>
      <c r="J11" s="22">
        <f t="shared" si="2"/>
        <v>24000</v>
      </c>
    </row>
    <row r="12" spans="1:14" x14ac:dyDescent="0.3">
      <c r="A12" s="1"/>
      <c r="B12" s="1"/>
      <c r="C12" s="1" t="s">
        <v>9</v>
      </c>
      <c r="D12" s="2">
        <v>70323.899999999994</v>
      </c>
      <c r="E12" s="22">
        <f>+D12+2000</f>
        <v>72323.899999999994</v>
      </c>
      <c r="F12" s="44">
        <v>30000</v>
      </c>
      <c r="G12" s="44">
        <v>50000</v>
      </c>
      <c r="I12" s="22">
        <f t="shared" si="1"/>
        <v>20000</v>
      </c>
      <c r="J12" s="22">
        <f t="shared" si="2"/>
        <v>-22323.899999999994</v>
      </c>
    </row>
    <row r="13" spans="1:14" s="21" customFormat="1" x14ac:dyDescent="0.3">
      <c r="A13" s="1"/>
      <c r="B13" s="1"/>
      <c r="C13" s="1" t="s">
        <v>110</v>
      </c>
      <c r="D13" s="22">
        <v>0</v>
      </c>
      <c r="E13" s="22">
        <v>0</v>
      </c>
      <c r="F13" s="46">
        <v>0</v>
      </c>
      <c r="G13" s="44">
        <v>0</v>
      </c>
      <c r="I13" s="22">
        <f t="shared" si="1"/>
        <v>0</v>
      </c>
      <c r="J13" s="22">
        <f t="shared" si="2"/>
        <v>0</v>
      </c>
    </row>
    <row r="14" spans="1:14" ht="15" thickBot="1" x14ac:dyDescent="0.35">
      <c r="A14" s="1"/>
      <c r="B14" s="1"/>
      <c r="C14" s="1" t="s">
        <v>10</v>
      </c>
      <c r="D14" s="3">
        <v>1000</v>
      </c>
      <c r="E14" s="23">
        <f>+D14</f>
        <v>1000</v>
      </c>
      <c r="F14" s="47">
        <v>20000</v>
      </c>
      <c r="G14" s="47">
        <v>0</v>
      </c>
      <c r="I14" s="23">
        <f t="shared" si="1"/>
        <v>-20000</v>
      </c>
      <c r="J14" s="23">
        <f t="shared" si="2"/>
        <v>-1000</v>
      </c>
      <c r="N14" s="30"/>
    </row>
    <row r="15" spans="1:14" x14ac:dyDescent="0.3">
      <c r="A15" s="1"/>
      <c r="B15" s="1" t="s">
        <v>11</v>
      </c>
      <c r="C15" s="1"/>
      <c r="D15" s="22">
        <f t="shared" ref="D15:E15" si="3">ROUND(SUM(D6:D14),5)</f>
        <v>820826.25</v>
      </c>
      <c r="E15" s="22">
        <f t="shared" si="3"/>
        <v>921786.13</v>
      </c>
      <c r="F15" s="44">
        <f>ROUND(SUM(F6:F14),5)</f>
        <v>1010000</v>
      </c>
      <c r="G15" s="44">
        <f>ROUND(SUM(G6:G14),5)</f>
        <v>960000</v>
      </c>
      <c r="H15" s="32">
        <f>+G15/G25</f>
        <v>0.30949771100651235</v>
      </c>
      <c r="I15" s="22">
        <f>SUM(I7:I14)</f>
        <v>-50000</v>
      </c>
      <c r="J15" s="22">
        <f>SUM(J7:J14)</f>
        <v>38213.869999999981</v>
      </c>
      <c r="K15" s="38" t="s">
        <v>114</v>
      </c>
    </row>
    <row r="16" spans="1:14" x14ac:dyDescent="0.3">
      <c r="A16" s="1"/>
      <c r="B16" s="1" t="s">
        <v>12</v>
      </c>
      <c r="C16" s="1"/>
      <c r="D16" s="2"/>
      <c r="E16" s="14"/>
      <c r="F16" s="44"/>
      <c r="G16" s="44"/>
      <c r="I16" s="22"/>
      <c r="J16" s="22"/>
    </row>
    <row r="17" spans="1:11" x14ac:dyDescent="0.3">
      <c r="A17" s="1"/>
      <c r="B17" s="1"/>
      <c r="C17" s="1" t="s">
        <v>13</v>
      </c>
      <c r="D17" s="2">
        <v>479.24</v>
      </c>
      <c r="E17" s="22">
        <f t="shared" ref="E17:E19" si="4">+D17/10*12</f>
        <v>575.08799999999997</v>
      </c>
      <c r="F17" s="44">
        <f>75*12</f>
        <v>900</v>
      </c>
      <c r="G17" s="44">
        <v>0</v>
      </c>
      <c r="I17" s="22">
        <f t="shared" ref="I17:I19" si="5">+G17-F17</f>
        <v>-900</v>
      </c>
      <c r="J17" s="22">
        <f t="shared" ref="J17:J19" si="6">+G17-E17</f>
        <v>-575.08799999999997</v>
      </c>
    </row>
    <row r="18" spans="1:11" x14ac:dyDescent="0.3">
      <c r="A18" s="1"/>
      <c r="B18" s="1"/>
      <c r="C18" s="1" t="s">
        <v>14</v>
      </c>
      <c r="D18" s="2">
        <v>7.87</v>
      </c>
      <c r="E18" s="22">
        <f t="shared" si="4"/>
        <v>9.4440000000000008</v>
      </c>
      <c r="F18" s="44">
        <f>20*12</f>
        <v>240</v>
      </c>
      <c r="G18" s="44">
        <v>0</v>
      </c>
      <c r="I18" s="22">
        <f t="shared" si="5"/>
        <v>-240</v>
      </c>
      <c r="J18" s="22">
        <f t="shared" si="6"/>
        <v>-9.4440000000000008</v>
      </c>
    </row>
    <row r="19" spans="1:11" ht="15" thickBot="1" x14ac:dyDescent="0.35">
      <c r="A19" s="1"/>
      <c r="B19" s="1"/>
      <c r="C19" s="1" t="s">
        <v>15</v>
      </c>
      <c r="D19" s="3">
        <v>2639.77</v>
      </c>
      <c r="E19" s="23">
        <f t="shared" si="4"/>
        <v>3167.7239999999997</v>
      </c>
      <c r="F19" s="47">
        <v>1200</v>
      </c>
      <c r="G19" s="47">
        <f>1200*4+87000</f>
        <v>91800</v>
      </c>
      <c r="I19" s="23">
        <f t="shared" si="5"/>
        <v>90600</v>
      </c>
      <c r="J19" s="23">
        <f t="shared" si="6"/>
        <v>88632.275999999998</v>
      </c>
      <c r="K19" s="38" t="s">
        <v>115</v>
      </c>
    </row>
    <row r="20" spans="1:11" x14ac:dyDescent="0.3">
      <c r="A20" s="1"/>
      <c r="B20" s="1" t="s">
        <v>16</v>
      </c>
      <c r="C20" s="1"/>
      <c r="D20" s="2">
        <f>ROUND(SUM(D16:D19),5)</f>
        <v>3126.88</v>
      </c>
      <c r="E20" s="14">
        <v>28048.044000000002</v>
      </c>
      <c r="F20" s="44">
        <f>ROUND(SUM(F16:F19),5)</f>
        <v>2340</v>
      </c>
      <c r="G20" s="44">
        <f>ROUND(SUM(G16:G19),5)</f>
        <v>91800</v>
      </c>
      <c r="H20" s="32">
        <f>+G20/G25</f>
        <v>2.9595718614997744E-2</v>
      </c>
      <c r="I20" s="22">
        <v>-4032</v>
      </c>
      <c r="J20" s="22">
        <v>-25708.044000000002</v>
      </c>
    </row>
    <row r="21" spans="1:11" x14ac:dyDescent="0.3">
      <c r="A21" s="1"/>
      <c r="B21" s="1" t="s">
        <v>17</v>
      </c>
      <c r="C21" s="1"/>
      <c r="D21" s="2"/>
      <c r="E21" s="14"/>
      <c r="F21" s="44"/>
      <c r="G21" s="44"/>
      <c r="I21" s="22"/>
      <c r="J21" s="22"/>
    </row>
    <row r="22" spans="1:11" x14ac:dyDescent="0.3">
      <c r="A22" s="1"/>
      <c r="B22" s="1"/>
      <c r="C22" s="1" t="s">
        <v>18</v>
      </c>
      <c r="D22" s="2">
        <v>309.39</v>
      </c>
      <c r="E22" s="22">
        <f t="shared" ref="E22" si="7">+D22/10*12</f>
        <v>371.26800000000003</v>
      </c>
      <c r="F22" s="44">
        <f>160*12</f>
        <v>1920</v>
      </c>
      <c r="G22" s="44">
        <v>0</v>
      </c>
      <c r="I22" s="22">
        <f t="shared" ref="I22:I23" si="8">+G22-F22</f>
        <v>-1920</v>
      </c>
      <c r="J22" s="22">
        <f t="shared" ref="J22" si="9">+G22-E22</f>
        <v>-371.26800000000003</v>
      </c>
    </row>
    <row r="23" spans="1:11" ht="15" thickBot="1" x14ac:dyDescent="0.35">
      <c r="A23" s="1"/>
      <c r="B23" s="1"/>
      <c r="C23" s="1" t="s">
        <v>19</v>
      </c>
      <c r="D23" s="4">
        <v>680320.84</v>
      </c>
      <c r="E23" s="22">
        <f>+D23+75000+75000</f>
        <v>830320.84</v>
      </c>
      <c r="F23" s="44">
        <f>68000*12</f>
        <v>816000</v>
      </c>
      <c r="G23" s="47">
        <v>924000</v>
      </c>
      <c r="H23" s="32">
        <f>+G23/G25</f>
        <v>0.29789154684376812</v>
      </c>
      <c r="I23" s="23">
        <f t="shared" si="8"/>
        <v>108000</v>
      </c>
      <c r="J23" s="23">
        <f>+G23-E23</f>
        <v>93679.160000000033</v>
      </c>
      <c r="K23" s="38" t="s">
        <v>116</v>
      </c>
    </row>
    <row r="24" spans="1:11" ht="15" thickBot="1" x14ac:dyDescent="0.35">
      <c r="A24" s="1"/>
      <c r="B24" s="1" t="s">
        <v>20</v>
      </c>
      <c r="C24" s="1"/>
      <c r="D24" s="5">
        <f>ROUND(SUM(D21:D23),5)</f>
        <v>680630.23</v>
      </c>
      <c r="E24" s="24">
        <f>ROUND(SUM(E21:E23),5)</f>
        <v>830692.10800000001</v>
      </c>
      <c r="F24" s="48">
        <f>ROUND(SUM(F21:F23),5)</f>
        <v>817920</v>
      </c>
      <c r="G24" s="44">
        <v>920000</v>
      </c>
      <c r="I24" s="22">
        <f>SUM(I22:I23)</f>
        <v>106080</v>
      </c>
      <c r="J24" s="22">
        <f>SUM(J22:J23)</f>
        <v>93307.892000000036</v>
      </c>
    </row>
    <row r="25" spans="1:11" ht="15" thickBot="1" x14ac:dyDescent="0.35">
      <c r="A25" s="1" t="s">
        <v>21</v>
      </c>
      <c r="B25" s="1"/>
      <c r="C25" s="1"/>
      <c r="D25" s="6">
        <f>ROUND(SUM(D4:D5)+D15+D20+D24,5)</f>
        <v>1625631.36</v>
      </c>
      <c r="E25" s="25">
        <f>ROUND(SUM(E4:E5)+E15+E20+E24,5)</f>
        <v>2021574.2819999999</v>
      </c>
      <c r="F25" s="49">
        <f>ROUND(SUM(F4:F5)+F15+F20+F24,5)</f>
        <v>2594114</v>
      </c>
      <c r="G25" s="49">
        <f>ROUND(SUM(G4:G5)+G15+G20+G24,5)</f>
        <v>3101800</v>
      </c>
      <c r="I25" s="25">
        <f>ROUND(SUM(I4:I5)+I15+I20+I24,5)</f>
        <v>-364098</v>
      </c>
      <c r="J25" s="25">
        <f t="shared" ref="J25" si="10">ROUND(SUM(J4:J5)+J15+J20+J24,5)</f>
        <v>295267.71799999999</v>
      </c>
    </row>
    <row r="26" spans="1:11" x14ac:dyDescent="0.3">
      <c r="A26" s="1"/>
      <c r="B26" s="1"/>
      <c r="C26" s="1"/>
      <c r="D26" s="2">
        <f>D25</f>
        <v>1625631.36</v>
      </c>
      <c r="E26" s="22">
        <f>E25</f>
        <v>2021574.2819999999</v>
      </c>
      <c r="F26" s="44">
        <f t="shared" ref="F26:G26" si="11">F25</f>
        <v>2594114</v>
      </c>
      <c r="G26" s="44">
        <f t="shared" si="11"/>
        <v>3101800</v>
      </c>
      <c r="I26" s="22">
        <f>I25</f>
        <v>-364098</v>
      </c>
      <c r="J26" s="22">
        <f t="shared" ref="J26" si="12">J25</f>
        <v>295267.71799999999</v>
      </c>
    </row>
    <row r="27" spans="1:11" x14ac:dyDescent="0.3">
      <c r="A27" s="1" t="s">
        <v>22</v>
      </c>
      <c r="B27" s="1"/>
      <c r="C27" s="1"/>
      <c r="D27" s="2"/>
      <c r="E27" s="14"/>
      <c r="F27" s="44"/>
      <c r="G27" s="44"/>
      <c r="I27" s="22"/>
      <c r="J27" s="22"/>
    </row>
    <row r="28" spans="1:11" x14ac:dyDescent="0.3">
      <c r="A28" s="1"/>
      <c r="B28" s="1" t="s">
        <v>23</v>
      </c>
      <c r="C28" s="1"/>
      <c r="D28" s="2"/>
      <c r="E28" s="14"/>
      <c r="F28" s="44"/>
      <c r="G28" s="44"/>
      <c r="I28" s="22"/>
      <c r="J28" s="22"/>
    </row>
    <row r="29" spans="1:11" x14ac:dyDescent="0.3">
      <c r="A29" s="1"/>
      <c r="B29" s="1"/>
      <c r="C29" s="1" t="s">
        <v>24</v>
      </c>
      <c r="D29" s="2">
        <v>481165.13</v>
      </c>
      <c r="E29" s="14">
        <f>+D29+41686.63+41686.63</f>
        <v>564538.39</v>
      </c>
      <c r="F29" s="45">
        <f>21635*26</f>
        <v>562510</v>
      </c>
      <c r="G29" s="45">
        <v>650000</v>
      </c>
      <c r="I29" s="22">
        <f t="shared" ref="I29:I32" si="13">+G29-F29</f>
        <v>87490</v>
      </c>
      <c r="J29" s="22">
        <f t="shared" ref="J29:J32" si="14">+G29-E29</f>
        <v>85461.609999999986</v>
      </c>
      <c r="K29" s="52" t="s">
        <v>146</v>
      </c>
    </row>
    <row r="30" spans="1:11" x14ac:dyDescent="0.3">
      <c r="A30" s="1"/>
      <c r="B30" s="1"/>
      <c r="C30" s="1" t="s">
        <v>25</v>
      </c>
      <c r="D30" s="2">
        <v>35957.760000000002</v>
      </c>
      <c r="E30" s="14">
        <f>+D30+1531.49+1539.52+1531.49+1539.52</f>
        <v>42099.779999999992</v>
      </c>
      <c r="F30" s="44">
        <f>1515*26</f>
        <v>39390</v>
      </c>
      <c r="G30" s="44">
        <f>+G29*0.08</f>
        <v>52000</v>
      </c>
      <c r="I30" s="22">
        <f t="shared" si="13"/>
        <v>12610</v>
      </c>
      <c r="J30" s="22">
        <f t="shared" si="14"/>
        <v>9900.2200000000084</v>
      </c>
      <c r="K30" s="34">
        <v>0.08</v>
      </c>
    </row>
    <row r="31" spans="1:11" x14ac:dyDescent="0.3">
      <c r="A31" s="1"/>
      <c r="B31" s="1"/>
      <c r="C31" s="1" t="s">
        <v>26</v>
      </c>
      <c r="D31" s="2">
        <v>9089.36</v>
      </c>
      <c r="E31" s="14">
        <f>+D31+397.86+345.78+397.86+345.78</f>
        <v>10576.640000000003</v>
      </c>
      <c r="F31" s="44">
        <f>650*12</f>
        <v>7800</v>
      </c>
      <c r="G31" s="44">
        <f>+G29*0.03</f>
        <v>19500</v>
      </c>
      <c r="I31" s="22">
        <f t="shared" si="13"/>
        <v>11700</v>
      </c>
      <c r="J31" s="22">
        <f t="shared" si="14"/>
        <v>8923.3599999999969</v>
      </c>
      <c r="K31" s="34">
        <v>0.03</v>
      </c>
    </row>
    <row r="32" spans="1:11" ht="15" thickBot="1" x14ac:dyDescent="0.35">
      <c r="A32" s="1"/>
      <c r="B32" s="1"/>
      <c r="C32" s="1" t="s">
        <v>27</v>
      </c>
      <c r="D32" s="3">
        <v>80227.22</v>
      </c>
      <c r="E32" s="15">
        <f>+D32+9845+9845</f>
        <v>99917.22</v>
      </c>
      <c r="F32" s="47">
        <f>8500*12</f>
        <v>102000</v>
      </c>
      <c r="G32" s="47">
        <f>+G29*0.117</f>
        <v>76050</v>
      </c>
      <c r="I32" s="23">
        <f t="shared" si="13"/>
        <v>-25950</v>
      </c>
      <c r="J32" s="23">
        <f t="shared" si="14"/>
        <v>-23867.22</v>
      </c>
      <c r="K32" s="34">
        <v>0.18</v>
      </c>
    </row>
    <row r="33" spans="1:26" x14ac:dyDescent="0.3">
      <c r="A33" s="1"/>
      <c r="B33" s="1" t="s">
        <v>28</v>
      </c>
      <c r="C33" s="1"/>
      <c r="D33" s="2">
        <f>ROUND(SUM(D28:D32),5)</f>
        <v>606439.47</v>
      </c>
      <c r="E33" s="22">
        <f>ROUND(SUM(E28:E32),5)</f>
        <v>717132.03</v>
      </c>
      <c r="F33" s="44">
        <f>ROUND(SUM(F28:F32),5)</f>
        <v>711700</v>
      </c>
      <c r="G33" s="44">
        <f>ROUND(SUM(G28:G32),5)</f>
        <v>797550</v>
      </c>
      <c r="H33" s="32">
        <f>+G33/G110</f>
        <v>0.25724509166011444</v>
      </c>
      <c r="I33" s="22">
        <f>ROUND(SUM(I28:I32),5)</f>
        <v>85850</v>
      </c>
      <c r="J33" s="22">
        <f>ROUND(SUM(J28:J32),5)</f>
        <v>80417.97</v>
      </c>
      <c r="K33" s="29"/>
    </row>
    <row r="34" spans="1:26" x14ac:dyDescent="0.3">
      <c r="A34" s="1"/>
      <c r="B34" s="1" t="s">
        <v>29</v>
      </c>
      <c r="C34" s="1"/>
      <c r="D34" s="2"/>
      <c r="E34" s="14"/>
      <c r="F34" s="44"/>
      <c r="G34" s="44"/>
      <c r="I34" s="22"/>
      <c r="J34" s="22"/>
    </row>
    <row r="35" spans="1:26" x14ac:dyDescent="0.3">
      <c r="A35" s="1"/>
      <c r="B35" s="1"/>
      <c r="C35" s="28" t="s">
        <v>30</v>
      </c>
      <c r="D35" s="31">
        <v>117246.61</v>
      </c>
      <c r="E35" s="31">
        <f>+D35+120000</f>
        <v>237246.61</v>
      </c>
      <c r="F35" s="44">
        <f>135000*6</f>
        <v>810000</v>
      </c>
      <c r="G35" s="45">
        <f>7*150000</f>
        <v>1050000</v>
      </c>
      <c r="H35" s="37"/>
      <c r="I35" s="31">
        <f t="shared" ref="I35:I43" si="15">+G35-F35</f>
        <v>240000</v>
      </c>
      <c r="J35" s="31">
        <f t="shared" ref="J35:J43" si="16">+G35-E35</f>
        <v>812753.39</v>
      </c>
      <c r="K35" s="42" t="s">
        <v>123</v>
      </c>
      <c r="N35" s="43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3">
      <c r="A36" s="1"/>
      <c r="B36" s="1"/>
      <c r="C36" s="28" t="s">
        <v>31</v>
      </c>
      <c r="D36" s="2">
        <v>7498.09</v>
      </c>
      <c r="E36" s="14">
        <f>+D36+500</f>
        <v>7998.09</v>
      </c>
      <c r="F36" s="44">
        <v>1200</v>
      </c>
      <c r="G36" s="44">
        <v>1200</v>
      </c>
      <c r="I36" s="22">
        <f t="shared" si="15"/>
        <v>0</v>
      </c>
      <c r="J36" s="22">
        <f t="shared" si="16"/>
        <v>-6798.09</v>
      </c>
    </row>
    <row r="37" spans="1:26" x14ac:dyDescent="0.3">
      <c r="A37" s="1"/>
      <c r="B37" s="1"/>
      <c r="C37" s="28" t="s">
        <v>32</v>
      </c>
      <c r="D37" s="2">
        <v>0</v>
      </c>
      <c r="E37" s="14">
        <v>0</v>
      </c>
      <c r="F37" s="44">
        <f>600*6</f>
        <v>3600</v>
      </c>
      <c r="G37" s="45">
        <v>10500</v>
      </c>
      <c r="I37" s="22">
        <f t="shared" si="15"/>
        <v>6900</v>
      </c>
      <c r="J37" s="22">
        <f t="shared" si="16"/>
        <v>10500</v>
      </c>
      <c r="K37" s="42" t="s">
        <v>125</v>
      </c>
    </row>
    <row r="38" spans="1:26" x14ac:dyDescent="0.3">
      <c r="A38" s="1"/>
      <c r="B38" s="1"/>
      <c r="C38" s="28" t="s">
        <v>33</v>
      </c>
      <c r="D38" s="2">
        <v>154.59</v>
      </c>
      <c r="E38" s="14">
        <f>+D38/10*12</f>
        <v>185.50799999999998</v>
      </c>
      <c r="F38" s="44">
        <v>2400</v>
      </c>
      <c r="G38" s="44">
        <f>250*12</f>
        <v>3000</v>
      </c>
      <c r="I38" s="22">
        <f t="shared" si="15"/>
        <v>600</v>
      </c>
      <c r="J38" s="22">
        <f t="shared" si="16"/>
        <v>2814.4920000000002</v>
      </c>
    </row>
    <row r="39" spans="1:26" x14ac:dyDescent="0.3">
      <c r="A39" s="1"/>
      <c r="B39" s="1"/>
      <c r="C39" s="28" t="s">
        <v>34</v>
      </c>
      <c r="D39" s="2">
        <v>757.99</v>
      </c>
      <c r="E39" s="22">
        <f t="shared" ref="E39:E43" si="17">+D39/10*12</f>
        <v>909.58800000000008</v>
      </c>
      <c r="F39" s="44">
        <f>25*12</f>
        <v>300</v>
      </c>
      <c r="G39" s="44">
        <v>1200</v>
      </c>
      <c r="I39" s="22">
        <f t="shared" si="15"/>
        <v>900</v>
      </c>
      <c r="J39" s="22">
        <f t="shared" si="16"/>
        <v>290.41199999999992</v>
      </c>
    </row>
    <row r="40" spans="1:26" x14ac:dyDescent="0.3">
      <c r="A40" s="1"/>
      <c r="B40" s="1"/>
      <c r="C40" s="28" t="s">
        <v>35</v>
      </c>
      <c r="D40" s="2">
        <v>2682.49</v>
      </c>
      <c r="E40" s="22">
        <f t="shared" si="17"/>
        <v>3218.9879999999994</v>
      </c>
      <c r="F40" s="44">
        <f>300*12</f>
        <v>3600</v>
      </c>
      <c r="G40" s="44">
        <f>350*12</f>
        <v>4200</v>
      </c>
      <c r="I40" s="22">
        <f t="shared" si="15"/>
        <v>600</v>
      </c>
      <c r="J40" s="22">
        <f t="shared" si="16"/>
        <v>981.01200000000063</v>
      </c>
    </row>
    <row r="41" spans="1:26" x14ac:dyDescent="0.3">
      <c r="A41" s="1"/>
      <c r="B41" s="1"/>
      <c r="C41" s="28" t="s">
        <v>36</v>
      </c>
      <c r="D41" s="2">
        <v>-215.23</v>
      </c>
      <c r="E41" s="22">
        <f t="shared" si="17"/>
        <v>-258.27600000000001</v>
      </c>
      <c r="F41" s="44">
        <v>0</v>
      </c>
      <c r="G41" s="44">
        <v>450</v>
      </c>
      <c r="I41" s="22">
        <f t="shared" si="15"/>
        <v>450</v>
      </c>
      <c r="J41" s="22">
        <f t="shared" si="16"/>
        <v>708.27600000000007</v>
      </c>
    </row>
    <row r="42" spans="1:26" x14ac:dyDescent="0.3">
      <c r="A42" s="1"/>
      <c r="B42" s="1"/>
      <c r="C42" s="28" t="s">
        <v>37</v>
      </c>
      <c r="D42" s="2">
        <v>2407.9699999999998</v>
      </c>
      <c r="E42" s="22">
        <f t="shared" si="17"/>
        <v>2889.5639999999994</v>
      </c>
      <c r="F42" s="44">
        <f>500*12</f>
        <v>6000</v>
      </c>
      <c r="G42" s="44">
        <f>250*12</f>
        <v>3000</v>
      </c>
      <c r="I42" s="22">
        <f t="shared" si="15"/>
        <v>-3000</v>
      </c>
      <c r="J42" s="22">
        <f t="shared" si="16"/>
        <v>110.4360000000006</v>
      </c>
    </row>
    <row r="43" spans="1:26" ht="15" thickBot="1" x14ac:dyDescent="0.35">
      <c r="A43" s="1"/>
      <c r="B43" s="1"/>
      <c r="C43" s="28" t="s">
        <v>38</v>
      </c>
      <c r="D43" s="3">
        <v>-2194</v>
      </c>
      <c r="E43" s="23">
        <f t="shared" si="17"/>
        <v>-2632.8</v>
      </c>
      <c r="F43" s="47">
        <f>-450*12</f>
        <v>-5400</v>
      </c>
      <c r="G43" s="47">
        <v>-2400</v>
      </c>
      <c r="I43" s="23">
        <f t="shared" si="15"/>
        <v>3000</v>
      </c>
      <c r="J43" s="23">
        <f t="shared" si="16"/>
        <v>232.80000000000018</v>
      </c>
    </row>
    <row r="44" spans="1:26" x14ac:dyDescent="0.3">
      <c r="A44" s="1"/>
      <c r="B44" s="1" t="s">
        <v>39</v>
      </c>
      <c r="C44" s="1"/>
      <c r="D44" s="2">
        <f>ROUND(SUM(D34:D43),5)</f>
        <v>128338.51</v>
      </c>
      <c r="E44" s="22">
        <f>ROUND(SUM(E34:E43),5)</f>
        <v>249557.272</v>
      </c>
      <c r="F44" s="44">
        <f>ROUND(SUM(F34:F43),5)</f>
        <v>821700</v>
      </c>
      <c r="G44" s="44">
        <f>ROUND(SUM(G34:G43),5)</f>
        <v>1071150</v>
      </c>
      <c r="H44" s="32">
        <f>+G44/G110</f>
        <v>0.34549317275623043</v>
      </c>
      <c r="I44" s="22">
        <f>SUM(I35:I43)</f>
        <v>249450</v>
      </c>
      <c r="J44" s="22">
        <f>SUM(J35:J43)</f>
        <v>821592.728</v>
      </c>
    </row>
    <row r="45" spans="1:26" x14ac:dyDescent="0.3">
      <c r="A45" s="1"/>
      <c r="B45" s="1" t="s">
        <v>40</v>
      </c>
      <c r="C45" s="1"/>
      <c r="D45" s="2"/>
      <c r="E45" s="14"/>
      <c r="F45" s="44"/>
      <c r="G45" s="44"/>
      <c r="I45" s="22"/>
      <c r="J45" s="22"/>
    </row>
    <row r="46" spans="1:26" x14ac:dyDescent="0.3">
      <c r="A46" s="1"/>
      <c r="B46" s="1"/>
      <c r="C46" s="1" t="s">
        <v>41</v>
      </c>
      <c r="D46" s="2">
        <v>85061.14</v>
      </c>
      <c r="E46" s="14">
        <f>+D46+7959.74+7959.74</f>
        <v>100980.62000000001</v>
      </c>
      <c r="F46" s="45">
        <v>98488</v>
      </c>
      <c r="G46" s="45">
        <v>106860</v>
      </c>
      <c r="I46" s="22">
        <f t="shared" ref="I46:I53" si="18">+G46-F46</f>
        <v>8372</v>
      </c>
      <c r="J46" s="22">
        <f t="shared" ref="J46:J53" si="19">+G46-E46</f>
        <v>5879.3799999999901</v>
      </c>
      <c r="K46" s="52" t="s">
        <v>146</v>
      </c>
    </row>
    <row r="47" spans="1:26" x14ac:dyDescent="0.3">
      <c r="A47" s="1"/>
      <c r="B47" s="1"/>
      <c r="C47" s="1" t="s">
        <v>42</v>
      </c>
      <c r="D47" s="2">
        <v>6394.23</v>
      </c>
      <c r="E47" s="14">
        <f>+D47+1289.16</f>
        <v>7683.3899999999994</v>
      </c>
      <c r="F47" s="44">
        <v>6890</v>
      </c>
      <c r="G47" s="44">
        <f>+G46*0.08</f>
        <v>8548.7999999999993</v>
      </c>
      <c r="I47" s="22">
        <f t="shared" si="18"/>
        <v>1658.7999999999993</v>
      </c>
      <c r="J47" s="22">
        <f t="shared" si="19"/>
        <v>865.40999999999985</v>
      </c>
      <c r="K47" s="34">
        <v>0.08</v>
      </c>
    </row>
    <row r="48" spans="1:26" x14ac:dyDescent="0.3">
      <c r="A48" s="1"/>
      <c r="B48" s="1"/>
      <c r="C48" s="1" t="s">
        <v>43</v>
      </c>
      <c r="D48" s="2">
        <v>2910.12</v>
      </c>
      <c r="E48" s="14">
        <f>+D48+477.6</f>
        <v>3387.72</v>
      </c>
      <c r="F48" s="44">
        <v>2964</v>
      </c>
      <c r="G48" s="44">
        <f>+G46*0.03</f>
        <v>3205.7999999999997</v>
      </c>
      <c r="I48" s="22">
        <f t="shared" si="18"/>
        <v>241.79999999999973</v>
      </c>
      <c r="J48" s="22">
        <f t="shared" si="19"/>
        <v>-181.92000000000007</v>
      </c>
      <c r="K48" s="34">
        <v>0.03</v>
      </c>
    </row>
    <row r="49" spans="1:14" x14ac:dyDescent="0.3">
      <c r="A49" s="1"/>
      <c r="B49" s="1"/>
      <c r="C49" s="1" t="s">
        <v>44</v>
      </c>
      <c r="D49" s="2">
        <v>18365.45</v>
      </c>
      <c r="E49" s="14">
        <f>+D49+1893.18+1893.18+1054.2</f>
        <v>23206.010000000002</v>
      </c>
      <c r="F49" s="44">
        <f>1475*12</f>
        <v>17700</v>
      </c>
      <c r="G49" s="44">
        <f>+G46*0.18</f>
        <v>19234.8</v>
      </c>
      <c r="I49" s="22">
        <f t="shared" si="18"/>
        <v>1534.7999999999993</v>
      </c>
      <c r="J49" s="22">
        <f t="shared" si="19"/>
        <v>-3971.2100000000028</v>
      </c>
      <c r="K49" s="34">
        <v>0.18</v>
      </c>
    </row>
    <row r="50" spans="1:14" x14ac:dyDescent="0.3">
      <c r="A50" s="1"/>
      <c r="B50" s="1"/>
      <c r="C50" s="28" t="s">
        <v>45</v>
      </c>
      <c r="D50" s="2">
        <v>72005.95</v>
      </c>
      <c r="E50" s="14">
        <f>+D50/10*12</f>
        <v>86407.139999999985</v>
      </c>
      <c r="F50" s="44">
        <f>43*2500</f>
        <v>107500</v>
      </c>
      <c r="G50" s="44">
        <f>8500*12</f>
        <v>102000</v>
      </c>
      <c r="I50" s="22">
        <f t="shared" si="18"/>
        <v>-5500</v>
      </c>
      <c r="J50" s="22">
        <f t="shared" si="19"/>
        <v>15592.860000000015</v>
      </c>
      <c r="K50" s="42" t="s">
        <v>127</v>
      </c>
    </row>
    <row r="51" spans="1:14" x14ac:dyDescent="0.3">
      <c r="A51" s="1"/>
      <c r="B51" s="1"/>
      <c r="C51" s="1" t="s">
        <v>46</v>
      </c>
      <c r="D51" s="2">
        <v>5163.47</v>
      </c>
      <c r="E51" s="22">
        <f t="shared" ref="E51:E53" si="20">+D51/10*12</f>
        <v>6196.1639999999998</v>
      </c>
      <c r="F51" s="44">
        <f>465*12</f>
        <v>5580</v>
      </c>
      <c r="G51" s="44">
        <f>6720+300</f>
        <v>7020</v>
      </c>
      <c r="I51" s="22">
        <f t="shared" si="18"/>
        <v>1440</v>
      </c>
      <c r="J51" s="22">
        <f t="shared" si="19"/>
        <v>823.83600000000024</v>
      </c>
      <c r="K51" s="22"/>
    </row>
    <row r="52" spans="1:14" x14ac:dyDescent="0.3">
      <c r="A52" s="1"/>
      <c r="B52" s="1"/>
      <c r="C52" s="1" t="s">
        <v>47</v>
      </c>
      <c r="D52" s="2">
        <v>2639.16</v>
      </c>
      <c r="E52" s="22">
        <f t="shared" si="20"/>
        <v>3166.9920000000002</v>
      </c>
      <c r="F52" s="44">
        <f>260*12</f>
        <v>3120</v>
      </c>
      <c r="G52" s="44">
        <v>3900</v>
      </c>
      <c r="I52" s="22">
        <f t="shared" si="18"/>
        <v>780</v>
      </c>
      <c r="J52" s="22">
        <f t="shared" si="19"/>
        <v>733.00799999999981</v>
      </c>
    </row>
    <row r="53" spans="1:14" ht="15" thickBot="1" x14ac:dyDescent="0.35">
      <c r="A53" s="1"/>
      <c r="B53" s="1"/>
      <c r="C53" s="1" t="s">
        <v>48</v>
      </c>
      <c r="D53" s="3">
        <v>114.85</v>
      </c>
      <c r="E53" s="23">
        <f t="shared" si="20"/>
        <v>137.82</v>
      </c>
      <c r="F53" s="47">
        <v>960</v>
      </c>
      <c r="G53" s="47">
        <v>0</v>
      </c>
      <c r="I53" s="23">
        <f t="shared" si="18"/>
        <v>-960</v>
      </c>
      <c r="J53" s="23">
        <f t="shared" si="19"/>
        <v>-137.82</v>
      </c>
    </row>
    <row r="54" spans="1:14" x14ac:dyDescent="0.3">
      <c r="A54" s="1"/>
      <c r="B54" s="1" t="s">
        <v>49</v>
      </c>
      <c r="C54" s="1"/>
      <c r="D54" s="2">
        <f>ROUND(SUM(D45:D53),5)</f>
        <v>192654.37</v>
      </c>
      <c r="E54" s="22">
        <f>ROUND(SUM(E45:E53),5)</f>
        <v>231165.856</v>
      </c>
      <c r="F54" s="44">
        <f>ROUND(SUM(F45:F53),5)</f>
        <v>243202</v>
      </c>
      <c r="G54" s="44">
        <f>ROUND(SUM(G45:G53),5)</f>
        <v>250769.4</v>
      </c>
      <c r="H54" s="32">
        <f>+G54/G110</f>
        <v>8.0884204486931094E-2</v>
      </c>
      <c r="I54" s="22">
        <f t="shared" ref="I54:J54" si="21">ROUND(SUM(I45:I53),5)</f>
        <v>7567.4</v>
      </c>
      <c r="J54" s="22">
        <f t="shared" si="21"/>
        <v>19603.544000000002</v>
      </c>
    </row>
    <row r="55" spans="1:14" x14ac:dyDescent="0.3">
      <c r="A55" s="1"/>
      <c r="B55" s="1" t="s">
        <v>50</v>
      </c>
      <c r="C55" s="1"/>
      <c r="D55" s="2"/>
      <c r="E55" s="14"/>
      <c r="F55" s="44"/>
      <c r="G55" s="44"/>
      <c r="I55" s="22"/>
      <c r="J55" s="22"/>
    </row>
    <row r="56" spans="1:14" x14ac:dyDescent="0.3">
      <c r="A56" s="1"/>
      <c r="B56" s="1"/>
      <c r="C56" s="1" t="s">
        <v>51</v>
      </c>
      <c r="D56" s="2">
        <v>3943.44</v>
      </c>
      <c r="E56" s="14">
        <f>+D56</f>
        <v>3943.44</v>
      </c>
      <c r="F56" s="44">
        <f>300*12</f>
        <v>3600</v>
      </c>
      <c r="G56" s="44">
        <v>5000</v>
      </c>
      <c r="I56" s="22">
        <f t="shared" ref="I56:I73" si="22">+G56-F56</f>
        <v>1400</v>
      </c>
      <c r="J56" s="22">
        <f t="shared" ref="J56:J73" si="23">+G56-E56</f>
        <v>1056.56</v>
      </c>
    </row>
    <row r="57" spans="1:14" x14ac:dyDescent="0.3">
      <c r="A57" s="1"/>
      <c r="B57" s="1"/>
      <c r="C57" s="1" t="s">
        <v>52</v>
      </c>
      <c r="D57" s="2">
        <v>3933.15</v>
      </c>
      <c r="E57" s="14">
        <f>+D57/10*12</f>
        <v>4719.78</v>
      </c>
      <c r="F57" s="44">
        <f>525*12</f>
        <v>6300</v>
      </c>
      <c r="G57" s="44">
        <v>6600</v>
      </c>
      <c r="I57" s="22">
        <f t="shared" si="22"/>
        <v>300</v>
      </c>
      <c r="J57" s="22">
        <f t="shared" si="23"/>
        <v>1880.2200000000003</v>
      </c>
    </row>
    <row r="58" spans="1:14" x14ac:dyDescent="0.3">
      <c r="A58" s="1"/>
      <c r="B58" s="1"/>
      <c r="C58" s="1" t="s">
        <v>53</v>
      </c>
      <c r="D58" s="2">
        <v>13449.16</v>
      </c>
      <c r="E58" s="22">
        <f t="shared" ref="E58:E73" si="24">+D58/10*12</f>
        <v>16138.991999999998</v>
      </c>
      <c r="F58" s="44">
        <v>6600</v>
      </c>
      <c r="G58" s="44">
        <v>12000</v>
      </c>
      <c r="I58" s="22">
        <f t="shared" si="22"/>
        <v>5400</v>
      </c>
      <c r="J58" s="22">
        <f t="shared" si="23"/>
        <v>-4138.9919999999984</v>
      </c>
      <c r="K58" s="22"/>
      <c r="N58" s="30"/>
    </row>
    <row r="59" spans="1:14" x14ac:dyDescent="0.3">
      <c r="A59" s="1"/>
      <c r="B59" s="1"/>
      <c r="C59" s="1" t="s">
        <v>54</v>
      </c>
      <c r="D59" s="2">
        <v>7431.59</v>
      </c>
      <c r="E59" s="22">
        <f t="shared" si="24"/>
        <v>8917.9079999999994</v>
      </c>
      <c r="F59" s="44">
        <f>800*12</f>
        <v>9600</v>
      </c>
      <c r="G59" s="44">
        <v>9000</v>
      </c>
      <c r="I59" s="22">
        <f t="shared" si="22"/>
        <v>-600</v>
      </c>
      <c r="J59" s="22">
        <f t="shared" si="23"/>
        <v>82.092000000000553</v>
      </c>
    </row>
    <row r="60" spans="1:14" x14ac:dyDescent="0.3">
      <c r="A60" s="1"/>
      <c r="B60" s="1"/>
      <c r="C60" s="1" t="s">
        <v>55</v>
      </c>
      <c r="D60" s="2">
        <v>1228.8900000000001</v>
      </c>
      <c r="E60" s="22">
        <f t="shared" si="24"/>
        <v>1474.6680000000001</v>
      </c>
      <c r="F60" s="44">
        <f>125*12</f>
        <v>1500</v>
      </c>
      <c r="G60" s="44">
        <v>1500</v>
      </c>
      <c r="I60" s="22">
        <f t="shared" si="22"/>
        <v>0</v>
      </c>
      <c r="J60" s="22">
        <f t="shared" si="23"/>
        <v>25.33199999999988</v>
      </c>
    </row>
    <row r="61" spans="1:14" x14ac:dyDescent="0.3">
      <c r="A61" s="1"/>
      <c r="B61" s="1"/>
      <c r="C61" s="1" t="s">
        <v>56</v>
      </c>
      <c r="D61" s="2">
        <v>8719.67</v>
      </c>
      <c r="E61" s="22">
        <f t="shared" si="24"/>
        <v>10463.603999999999</v>
      </c>
      <c r="F61" s="44">
        <f>825*12</f>
        <v>9900</v>
      </c>
      <c r="G61" s="44">
        <v>11650</v>
      </c>
      <c r="I61" s="22">
        <f t="shared" si="22"/>
        <v>1750</v>
      </c>
      <c r="J61" s="22">
        <f t="shared" si="23"/>
        <v>1186.3960000000006</v>
      </c>
    </row>
    <row r="62" spans="1:14" x14ac:dyDescent="0.3">
      <c r="A62" s="1"/>
      <c r="B62" s="1"/>
      <c r="C62" s="1" t="s">
        <v>57</v>
      </c>
      <c r="D62" s="2">
        <v>17747.37</v>
      </c>
      <c r="E62" s="22">
        <f t="shared" si="24"/>
        <v>21296.843999999997</v>
      </c>
      <c r="F62" s="44">
        <v>20400</v>
      </c>
      <c r="G62" s="44">
        <v>19600</v>
      </c>
      <c r="I62" s="22">
        <f t="shared" si="22"/>
        <v>-800</v>
      </c>
      <c r="J62" s="22">
        <f t="shared" si="23"/>
        <v>-1696.8439999999973</v>
      </c>
    </row>
    <row r="63" spans="1:14" x14ac:dyDescent="0.3">
      <c r="A63" s="1"/>
      <c r="B63" s="1"/>
      <c r="C63" s="1" t="s">
        <v>58</v>
      </c>
      <c r="D63" s="2">
        <v>2502.02</v>
      </c>
      <c r="E63" s="22">
        <f t="shared" si="24"/>
        <v>3002.424</v>
      </c>
      <c r="F63" s="44">
        <f>300*12</f>
        <v>3600</v>
      </c>
      <c r="G63" s="44">
        <v>4800</v>
      </c>
      <c r="I63" s="22">
        <f t="shared" si="22"/>
        <v>1200</v>
      </c>
      <c r="J63" s="22">
        <f t="shared" si="23"/>
        <v>1797.576</v>
      </c>
    </row>
    <row r="64" spans="1:14" x14ac:dyDescent="0.3">
      <c r="A64" s="1"/>
      <c r="B64" s="1"/>
      <c r="C64" s="28" t="s">
        <v>59</v>
      </c>
      <c r="D64" s="31">
        <v>0</v>
      </c>
      <c r="E64" s="31">
        <f t="shared" si="24"/>
        <v>0</v>
      </c>
      <c r="F64" s="44">
        <v>1200</v>
      </c>
      <c r="G64" s="45">
        <v>5000</v>
      </c>
      <c r="I64" s="22">
        <f t="shared" si="22"/>
        <v>3800</v>
      </c>
      <c r="J64" s="22">
        <f t="shared" si="23"/>
        <v>5000</v>
      </c>
      <c r="N64" s="30"/>
    </row>
    <row r="65" spans="1:18" x14ac:dyDescent="0.3">
      <c r="A65" s="1"/>
      <c r="B65" s="1"/>
      <c r="C65" s="28" t="s">
        <v>60</v>
      </c>
      <c r="D65" s="31">
        <v>7500</v>
      </c>
      <c r="E65" s="31">
        <f t="shared" si="24"/>
        <v>9000</v>
      </c>
      <c r="F65" s="44">
        <v>7500</v>
      </c>
      <c r="G65" s="45">
        <v>7500</v>
      </c>
      <c r="I65" s="22">
        <f t="shared" si="22"/>
        <v>0</v>
      </c>
      <c r="J65" s="22">
        <f t="shared" si="23"/>
        <v>-1500</v>
      </c>
    </row>
    <row r="66" spans="1:18" x14ac:dyDescent="0.3">
      <c r="A66" s="1"/>
      <c r="B66" s="1"/>
      <c r="C66" s="28" t="s">
        <v>61</v>
      </c>
      <c r="D66" s="31">
        <v>505</v>
      </c>
      <c r="E66" s="31">
        <f t="shared" si="24"/>
        <v>606</v>
      </c>
      <c r="F66" s="44">
        <v>1200</v>
      </c>
      <c r="G66" s="45">
        <v>5000</v>
      </c>
      <c r="I66" s="22">
        <f t="shared" si="22"/>
        <v>3800</v>
      </c>
      <c r="J66" s="22">
        <f t="shared" si="23"/>
        <v>4394</v>
      </c>
      <c r="N66" s="30"/>
    </row>
    <row r="67" spans="1:18" x14ac:dyDescent="0.3">
      <c r="A67" s="1"/>
      <c r="B67" s="1"/>
      <c r="C67" s="28" t="s">
        <v>62</v>
      </c>
      <c r="D67" s="31">
        <v>18485.82</v>
      </c>
      <c r="E67" s="31">
        <f t="shared" si="24"/>
        <v>22182.983999999997</v>
      </c>
      <c r="F67" s="44">
        <v>12000</v>
      </c>
      <c r="G67" s="45">
        <v>16000</v>
      </c>
      <c r="I67" s="22">
        <f t="shared" si="22"/>
        <v>4000</v>
      </c>
      <c r="J67" s="22">
        <f t="shared" si="23"/>
        <v>-6182.9839999999967</v>
      </c>
      <c r="N67" s="30"/>
    </row>
    <row r="68" spans="1:18" x14ac:dyDescent="0.3">
      <c r="A68" s="1"/>
      <c r="B68" s="1"/>
      <c r="C68" s="28" t="s">
        <v>63</v>
      </c>
      <c r="D68" s="31">
        <v>12466.42</v>
      </c>
      <c r="E68" s="31">
        <f t="shared" si="24"/>
        <v>14959.704000000002</v>
      </c>
      <c r="F68" s="44">
        <f>1300*12</f>
        <v>15600</v>
      </c>
      <c r="G68" s="45">
        <v>15600</v>
      </c>
      <c r="I68" s="22">
        <f t="shared" si="22"/>
        <v>0</v>
      </c>
      <c r="J68" s="22">
        <f t="shared" si="23"/>
        <v>640.29599999999846</v>
      </c>
    </row>
    <row r="69" spans="1:18" x14ac:dyDescent="0.3">
      <c r="A69" s="1"/>
      <c r="B69" s="1"/>
      <c r="C69" s="28" t="s">
        <v>64</v>
      </c>
      <c r="D69" s="31">
        <v>5170</v>
      </c>
      <c r="E69" s="31">
        <f t="shared" si="24"/>
        <v>6204</v>
      </c>
      <c r="F69" s="44">
        <f>350*12</f>
        <v>4200</v>
      </c>
      <c r="G69" s="45">
        <v>6400</v>
      </c>
      <c r="I69" s="22">
        <f t="shared" si="22"/>
        <v>2200</v>
      </c>
      <c r="J69" s="22">
        <f t="shared" si="23"/>
        <v>196</v>
      </c>
      <c r="K69" s="22"/>
      <c r="N69" s="30"/>
    </row>
    <row r="70" spans="1:18" x14ac:dyDescent="0.3">
      <c r="A70" s="1"/>
      <c r="B70" s="1"/>
      <c r="C70" s="1" t="s">
        <v>65</v>
      </c>
      <c r="D70" s="2">
        <v>15979.28</v>
      </c>
      <c r="E70" s="22">
        <f t="shared" si="24"/>
        <v>19175.136000000002</v>
      </c>
      <c r="F70" s="44">
        <v>33600</v>
      </c>
      <c r="G70" s="44">
        <v>33600</v>
      </c>
      <c r="I70" s="22">
        <f t="shared" si="22"/>
        <v>0</v>
      </c>
      <c r="J70" s="22">
        <f t="shared" si="23"/>
        <v>14424.863999999998</v>
      </c>
      <c r="K70" s="42" t="s">
        <v>130</v>
      </c>
      <c r="N70" s="30"/>
      <c r="P70" t="s">
        <v>112</v>
      </c>
    </row>
    <row r="71" spans="1:18" x14ac:dyDescent="0.3">
      <c r="A71" s="1"/>
      <c r="B71" s="1"/>
      <c r="C71" s="1" t="s">
        <v>66</v>
      </c>
      <c r="D71" s="2">
        <v>3112.91</v>
      </c>
      <c r="E71" s="22">
        <f t="shared" si="24"/>
        <v>3735.4920000000002</v>
      </c>
      <c r="F71" s="44">
        <f>200*12</f>
        <v>2400</v>
      </c>
      <c r="G71" s="44">
        <v>3600</v>
      </c>
      <c r="I71" s="22">
        <f t="shared" si="22"/>
        <v>1200</v>
      </c>
      <c r="J71" s="22">
        <f t="shared" si="23"/>
        <v>-135.49200000000019</v>
      </c>
    </row>
    <row r="72" spans="1:18" x14ac:dyDescent="0.3">
      <c r="A72" s="1"/>
      <c r="B72" s="1"/>
      <c r="C72" s="1" t="s">
        <v>67</v>
      </c>
      <c r="D72" s="2">
        <v>28928.65</v>
      </c>
      <c r="E72" s="22">
        <f t="shared" si="24"/>
        <v>34714.380000000005</v>
      </c>
      <c r="F72" s="44">
        <f>3000*12</f>
        <v>36000</v>
      </c>
      <c r="G72" s="44">
        <v>34000</v>
      </c>
      <c r="I72" s="22">
        <f t="shared" si="22"/>
        <v>-2000</v>
      </c>
      <c r="J72" s="22">
        <f t="shared" si="23"/>
        <v>-714.38000000000466</v>
      </c>
    </row>
    <row r="73" spans="1:18" ht="15" thickBot="1" x14ac:dyDescent="0.35">
      <c r="A73" s="1"/>
      <c r="B73" s="1"/>
      <c r="C73" s="1" t="s">
        <v>68</v>
      </c>
      <c r="D73" s="3">
        <v>7448.82</v>
      </c>
      <c r="E73" s="23">
        <f t="shared" si="24"/>
        <v>8938.5839999999989</v>
      </c>
      <c r="F73" s="47">
        <f>400*12</f>
        <v>4800</v>
      </c>
      <c r="G73" s="47">
        <f>9000+8000+(250*4)+300</f>
        <v>18300</v>
      </c>
      <c r="I73" s="23">
        <f t="shared" si="22"/>
        <v>13500</v>
      </c>
      <c r="J73" s="23">
        <f t="shared" si="23"/>
        <v>9361.4160000000011</v>
      </c>
      <c r="K73" s="42" t="s">
        <v>131</v>
      </c>
      <c r="L73" s="22"/>
    </row>
    <row r="74" spans="1:18" x14ac:dyDescent="0.3">
      <c r="A74" s="1"/>
      <c r="B74" s="1" t="s">
        <v>69</v>
      </c>
      <c r="C74" s="1"/>
      <c r="D74" s="2">
        <f>ROUND(SUM(D55:D73),5)</f>
        <v>158552.19</v>
      </c>
      <c r="E74" s="22">
        <f>ROUND(SUM(E55:E73),5)</f>
        <v>189473.94</v>
      </c>
      <c r="F74" s="44">
        <f>ROUND(SUM(F55:F73),5)</f>
        <v>180000</v>
      </c>
      <c r="G74" s="44">
        <f>ROUND(SUM(G55:G73),5)</f>
        <v>215150</v>
      </c>
      <c r="H74" s="32">
        <f>+G74/G110</f>
        <v>6.9395375174814894E-2</v>
      </c>
      <c r="I74" s="22">
        <v>-19930</v>
      </c>
      <c r="J74" s="22">
        <v>-18881.531999999988</v>
      </c>
      <c r="K74" s="22"/>
    </row>
    <row r="75" spans="1:18" x14ac:dyDescent="0.3">
      <c r="A75" s="1"/>
      <c r="B75" s="28" t="s">
        <v>70</v>
      </c>
      <c r="C75" s="28"/>
      <c r="D75" s="2"/>
      <c r="E75" s="14"/>
      <c r="F75" s="44"/>
      <c r="G75" s="44"/>
      <c r="I75" s="22"/>
      <c r="J75" s="22"/>
      <c r="K75" s="22"/>
    </row>
    <row r="76" spans="1:18" x14ac:dyDescent="0.3">
      <c r="A76" s="1"/>
      <c r="B76" s="1"/>
      <c r="C76" s="35" t="s">
        <v>71</v>
      </c>
      <c r="D76" s="36">
        <v>606.41</v>
      </c>
      <c r="E76" s="36">
        <f>+D76/10*12</f>
        <v>727.69200000000001</v>
      </c>
      <c r="F76" s="44">
        <v>2400</v>
      </c>
      <c r="G76" s="50">
        <f>500*5+7000</f>
        <v>9500</v>
      </c>
      <c r="I76" s="22">
        <f t="shared" ref="I76:I85" si="25">+G76-F76</f>
        <v>7100</v>
      </c>
      <c r="J76" s="22">
        <f t="shared" ref="J76:J85" si="26">+G76-E76</f>
        <v>8772.3080000000009</v>
      </c>
      <c r="K76" s="42" t="s">
        <v>132</v>
      </c>
      <c r="L76" s="22"/>
    </row>
    <row r="77" spans="1:18" x14ac:dyDescent="0.3">
      <c r="A77" s="1"/>
      <c r="B77" s="1"/>
      <c r="C77" s="35" t="s">
        <v>72</v>
      </c>
      <c r="D77" s="36">
        <v>29100.93</v>
      </c>
      <c r="E77" s="36">
        <f t="shared" ref="E77:E85" si="27">+D77/10*12</f>
        <v>34921.115999999995</v>
      </c>
      <c r="F77" s="44">
        <v>32400</v>
      </c>
      <c r="G77" s="50">
        <f>12000+4500+5000+5000+3000</f>
        <v>29500</v>
      </c>
      <c r="I77" s="22">
        <f t="shared" si="25"/>
        <v>-2900</v>
      </c>
      <c r="J77" s="22">
        <f t="shared" si="26"/>
        <v>-5421.1159999999945</v>
      </c>
      <c r="L77" s="22"/>
      <c r="R77" s="30"/>
    </row>
    <row r="78" spans="1:18" x14ac:dyDescent="0.3">
      <c r="A78" s="1"/>
      <c r="B78" s="1"/>
      <c r="C78" s="35" t="s">
        <v>73</v>
      </c>
      <c r="D78" s="36">
        <v>2023.23</v>
      </c>
      <c r="E78" s="36">
        <f t="shared" si="27"/>
        <v>2427.8760000000002</v>
      </c>
      <c r="F78" s="44">
        <f>150*12</f>
        <v>1800</v>
      </c>
      <c r="G78" s="50">
        <f>2500+2100</f>
        <v>4600</v>
      </c>
      <c r="I78" s="22">
        <f t="shared" si="25"/>
        <v>2800</v>
      </c>
      <c r="J78" s="22">
        <f t="shared" si="26"/>
        <v>2172.1239999999998</v>
      </c>
      <c r="L78" s="22"/>
    </row>
    <row r="79" spans="1:18" x14ac:dyDescent="0.3">
      <c r="A79" s="1"/>
      <c r="B79" s="1"/>
      <c r="C79" s="35" t="s">
        <v>74</v>
      </c>
      <c r="D79" s="36">
        <v>0</v>
      </c>
      <c r="E79" s="36">
        <f t="shared" si="27"/>
        <v>0</v>
      </c>
      <c r="F79" s="44">
        <v>5000</v>
      </c>
      <c r="G79" s="50">
        <f>2*4000+4*1000+8500</f>
        <v>20500</v>
      </c>
      <c r="I79" s="22">
        <f t="shared" si="25"/>
        <v>15500</v>
      </c>
      <c r="J79" s="22">
        <f t="shared" si="26"/>
        <v>20500</v>
      </c>
      <c r="K79" s="42" t="s">
        <v>133</v>
      </c>
      <c r="L79" s="22"/>
    </row>
    <row r="80" spans="1:18" x14ac:dyDescent="0.3">
      <c r="A80" s="1"/>
      <c r="B80" s="1"/>
      <c r="C80" s="35" t="s">
        <v>75</v>
      </c>
      <c r="D80" s="36">
        <v>11951.64</v>
      </c>
      <c r="E80" s="36">
        <f t="shared" si="27"/>
        <v>14341.968000000001</v>
      </c>
      <c r="F80" s="44">
        <v>12000</v>
      </c>
      <c r="G80" s="50">
        <v>12000</v>
      </c>
      <c r="I80" s="22">
        <f t="shared" si="25"/>
        <v>0</v>
      </c>
      <c r="J80" s="22">
        <f t="shared" si="26"/>
        <v>-2341.9680000000008</v>
      </c>
      <c r="L80" s="22"/>
    </row>
    <row r="81" spans="1:15" x14ac:dyDescent="0.3">
      <c r="A81" s="1"/>
      <c r="B81" s="1"/>
      <c r="C81" s="35" t="s">
        <v>76</v>
      </c>
      <c r="D81" s="36">
        <v>0</v>
      </c>
      <c r="E81" s="36">
        <f t="shared" si="27"/>
        <v>0</v>
      </c>
      <c r="F81" s="44">
        <f>25*12</f>
        <v>300</v>
      </c>
      <c r="G81" s="50">
        <v>400</v>
      </c>
      <c r="I81" s="22">
        <f t="shared" si="25"/>
        <v>100</v>
      </c>
      <c r="J81" s="22">
        <f t="shared" si="26"/>
        <v>400</v>
      </c>
    </row>
    <row r="82" spans="1:15" x14ac:dyDescent="0.3">
      <c r="A82" s="1"/>
      <c r="B82" s="1"/>
      <c r="C82" s="35" t="s">
        <v>77</v>
      </c>
      <c r="D82" s="36">
        <v>284.3</v>
      </c>
      <c r="E82" s="36">
        <f t="shared" si="27"/>
        <v>341.15999999999997</v>
      </c>
      <c r="F82" s="44">
        <f>300*12</f>
        <v>3600</v>
      </c>
      <c r="G82" s="50">
        <v>0</v>
      </c>
      <c r="I82" s="22">
        <f t="shared" si="25"/>
        <v>-3600</v>
      </c>
      <c r="J82" s="22">
        <f t="shared" si="26"/>
        <v>-341.15999999999997</v>
      </c>
    </row>
    <row r="83" spans="1:15" x14ac:dyDescent="0.3">
      <c r="A83" s="1"/>
      <c r="B83" s="1"/>
      <c r="C83" s="35" t="s">
        <v>78</v>
      </c>
      <c r="D83" s="36">
        <v>34249.4</v>
      </c>
      <c r="E83" s="36">
        <f t="shared" si="27"/>
        <v>41099.279999999999</v>
      </c>
      <c r="F83" s="44">
        <v>34000</v>
      </c>
      <c r="G83" s="50">
        <f>2700*12+2500*4</f>
        <v>42400</v>
      </c>
      <c r="I83" s="22">
        <f t="shared" si="25"/>
        <v>8400</v>
      </c>
      <c r="J83" s="22">
        <f t="shared" si="26"/>
        <v>1300.7200000000012</v>
      </c>
      <c r="L83" s="22"/>
    </row>
    <row r="84" spans="1:15" x14ac:dyDescent="0.3">
      <c r="A84" s="1"/>
      <c r="B84" s="1"/>
      <c r="C84" s="28" t="s">
        <v>79</v>
      </c>
      <c r="D84" s="31">
        <v>1342.18</v>
      </c>
      <c r="E84" s="31">
        <f t="shared" si="27"/>
        <v>1610.6160000000002</v>
      </c>
      <c r="F84" s="44">
        <f>200*12</f>
        <v>2400</v>
      </c>
      <c r="G84" s="45">
        <v>1200</v>
      </c>
      <c r="I84" s="22">
        <f t="shared" si="25"/>
        <v>-1200</v>
      </c>
      <c r="J84" s="22">
        <f t="shared" si="26"/>
        <v>-410.61600000000021</v>
      </c>
    </row>
    <row r="85" spans="1:15" ht="15" thickBot="1" x14ac:dyDescent="0.35">
      <c r="A85" s="1"/>
      <c r="B85" s="1"/>
      <c r="C85" s="28" t="s">
        <v>80</v>
      </c>
      <c r="D85" s="33">
        <v>8982.5</v>
      </c>
      <c r="E85" s="33">
        <f t="shared" si="27"/>
        <v>10779</v>
      </c>
      <c r="F85" s="47">
        <v>14000</v>
      </c>
      <c r="G85" s="51">
        <f>1000*12+7000+5000</f>
        <v>24000</v>
      </c>
      <c r="I85" s="23">
        <f t="shared" si="25"/>
        <v>10000</v>
      </c>
      <c r="J85" s="23">
        <f t="shared" si="26"/>
        <v>13221</v>
      </c>
      <c r="K85" s="42" t="s">
        <v>134</v>
      </c>
      <c r="L85" s="22"/>
      <c r="O85" s="30"/>
    </row>
    <row r="86" spans="1:15" x14ac:dyDescent="0.3">
      <c r="A86" s="1"/>
      <c r="B86" s="1" t="s">
        <v>81</v>
      </c>
      <c r="C86" s="1"/>
      <c r="D86" s="2">
        <f>ROUND(SUM(D75:D85),5)</f>
        <v>88540.59</v>
      </c>
      <c r="E86" s="22">
        <f>ROUND(SUM(E75:E85),5)</f>
        <v>106248.708</v>
      </c>
      <c r="F86" s="44">
        <f>ROUND(SUM(F75:F85),5)</f>
        <v>107900</v>
      </c>
      <c r="G86" s="44">
        <f>ROUND(SUM(G75:G85),5)</f>
        <v>144100</v>
      </c>
      <c r="H86" s="32">
        <f>+G86/G110</f>
        <v>4.6478612887245301E-2</v>
      </c>
      <c r="I86" s="22">
        <v>-20</v>
      </c>
      <c r="J86" s="22">
        <v>-32433.592000000001</v>
      </c>
    </row>
    <row r="87" spans="1:15" x14ac:dyDescent="0.3">
      <c r="A87" s="1"/>
      <c r="B87" s="1" t="s">
        <v>82</v>
      </c>
      <c r="C87" s="1"/>
      <c r="D87" s="2"/>
      <c r="E87" s="14"/>
      <c r="F87" s="44"/>
      <c r="G87" s="44"/>
      <c r="I87" s="22"/>
      <c r="J87" s="22"/>
    </row>
    <row r="88" spans="1:15" x14ac:dyDescent="0.3">
      <c r="A88" s="1"/>
      <c r="B88" s="1"/>
      <c r="C88" s="1" t="s">
        <v>83</v>
      </c>
      <c r="D88" s="2">
        <v>209934.45</v>
      </c>
      <c r="E88" s="14">
        <f>+D88+10603.97+10603.97</f>
        <v>231142.39</v>
      </c>
      <c r="F88" s="44">
        <f>(8450*26)+30000</f>
        <v>249700</v>
      </c>
      <c r="G88" s="44">
        <v>297180</v>
      </c>
      <c r="I88" s="36">
        <f t="shared" ref="I88:I91" si="28">+G88-F88</f>
        <v>47480</v>
      </c>
      <c r="J88" s="36">
        <f t="shared" ref="J88:J91" si="29">+G88-E88</f>
        <v>66037.609999999986</v>
      </c>
      <c r="K88" s="52" t="s">
        <v>146</v>
      </c>
    </row>
    <row r="89" spans="1:15" x14ac:dyDescent="0.3">
      <c r="A89" s="1"/>
      <c r="B89" s="1"/>
      <c r="C89" s="1" t="s">
        <v>84</v>
      </c>
      <c r="D89" s="2">
        <v>14736.92</v>
      </c>
      <c r="E89" s="14">
        <f>+D89+1571.06+1571.06</f>
        <v>17879.04</v>
      </c>
      <c r="F89" s="44">
        <f>590*26</f>
        <v>15340</v>
      </c>
      <c r="G89" s="44">
        <f>+G88*0.08</f>
        <v>23774.400000000001</v>
      </c>
      <c r="I89" s="22">
        <f t="shared" si="28"/>
        <v>8434.4000000000015</v>
      </c>
      <c r="J89" s="22">
        <f t="shared" si="29"/>
        <v>5895.3600000000006</v>
      </c>
      <c r="K89" s="34">
        <v>0.08</v>
      </c>
    </row>
    <row r="90" spans="1:15" x14ac:dyDescent="0.3">
      <c r="A90" s="1"/>
      <c r="B90" s="1"/>
      <c r="C90" s="1" t="s">
        <v>85</v>
      </c>
      <c r="D90" s="2">
        <v>4625.58</v>
      </c>
      <c r="E90" s="14">
        <f>+D90+336.3+336.3</f>
        <v>5298.18</v>
      </c>
      <c r="F90" s="44">
        <f>210*26</f>
        <v>5460</v>
      </c>
      <c r="G90" s="44">
        <f>+G88*0.025</f>
        <v>7429.5</v>
      </c>
      <c r="I90" s="22">
        <f t="shared" si="28"/>
        <v>1969.5</v>
      </c>
      <c r="J90" s="22">
        <f t="shared" si="29"/>
        <v>2131.3199999999997</v>
      </c>
      <c r="K90" s="34">
        <v>2.5000000000000001E-2</v>
      </c>
    </row>
    <row r="91" spans="1:15" ht="15" thickBot="1" x14ac:dyDescent="0.35">
      <c r="A91" s="1"/>
      <c r="B91" s="1"/>
      <c r="C91" s="1" t="s">
        <v>86</v>
      </c>
      <c r="D91" s="3">
        <v>36101.089999999997</v>
      </c>
      <c r="E91" s="15">
        <f>+D91+4106.18+4106.18</f>
        <v>44313.45</v>
      </c>
      <c r="F91" s="47">
        <f>3295*12</f>
        <v>39540</v>
      </c>
      <c r="G91" s="47">
        <f>+G88*0.18</f>
        <v>53492.4</v>
      </c>
      <c r="I91" s="23">
        <f t="shared" si="28"/>
        <v>13952.400000000001</v>
      </c>
      <c r="J91" s="23">
        <f t="shared" si="29"/>
        <v>9178.9500000000044</v>
      </c>
      <c r="K91" s="34">
        <v>0.18</v>
      </c>
    </row>
    <row r="92" spans="1:15" x14ac:dyDescent="0.3">
      <c r="A92" s="1"/>
      <c r="B92" s="1" t="s">
        <v>87</v>
      </c>
      <c r="C92" s="1"/>
      <c r="D92" s="2">
        <f>ROUND(SUM(D87:D91),5)</f>
        <v>265398.03999999998</v>
      </c>
      <c r="E92" s="14">
        <v>349828.152</v>
      </c>
      <c r="F92" s="44">
        <f t="shared" ref="F92" si="30">ROUND(SUM(F87:F91),5)</f>
        <v>310040</v>
      </c>
      <c r="G92" s="44">
        <f>ROUND(SUM(G87:G91),5)</f>
        <v>381876.3</v>
      </c>
      <c r="H92" s="32">
        <f>+G92/G110</f>
        <v>0.12317196890016345</v>
      </c>
      <c r="I92" s="22">
        <v>-65881</v>
      </c>
      <c r="J92" s="22">
        <v>-39788.152000000002</v>
      </c>
      <c r="K92" s="22"/>
    </row>
    <row r="93" spans="1:15" x14ac:dyDescent="0.3">
      <c r="A93" s="1"/>
      <c r="B93" s="1" t="s">
        <v>88</v>
      </c>
      <c r="C93" s="1"/>
      <c r="D93" s="2"/>
      <c r="E93" s="14"/>
      <c r="F93" s="44"/>
      <c r="G93" s="44"/>
      <c r="I93" s="22"/>
      <c r="J93" s="22"/>
      <c r="K93" s="22"/>
    </row>
    <row r="94" spans="1:15" x14ac:dyDescent="0.3">
      <c r="A94" s="1"/>
      <c r="B94" s="1"/>
      <c r="C94" s="1" t="s">
        <v>89</v>
      </c>
      <c r="D94" s="2">
        <v>10075</v>
      </c>
      <c r="E94" s="22">
        <f>+D94</f>
        <v>10075</v>
      </c>
      <c r="F94" s="44">
        <f>50*12</f>
        <v>600</v>
      </c>
      <c r="G94" s="44">
        <v>10075</v>
      </c>
      <c r="I94" s="22">
        <f t="shared" ref="I94:I108" si="31">+G94-F94</f>
        <v>9475</v>
      </c>
      <c r="J94" s="22">
        <f t="shared" ref="J94:J108" si="32">+G94-E94</f>
        <v>0</v>
      </c>
      <c r="K94" s="22"/>
    </row>
    <row r="95" spans="1:15" x14ac:dyDescent="0.3">
      <c r="A95" s="1"/>
      <c r="B95" s="1"/>
      <c r="C95" s="1" t="s">
        <v>90</v>
      </c>
      <c r="D95" s="2">
        <v>9137.5300000000007</v>
      </c>
      <c r="E95" s="22">
        <f t="shared" ref="E95:E108" si="33">+D95/10*12</f>
        <v>10965.036</v>
      </c>
      <c r="F95" s="44">
        <f>540000*0.0108</f>
        <v>5832</v>
      </c>
      <c r="G95" s="44">
        <f>920000*0.013</f>
        <v>11960</v>
      </c>
      <c r="I95" s="22">
        <f t="shared" si="31"/>
        <v>6128</v>
      </c>
      <c r="J95" s="22">
        <f t="shared" si="32"/>
        <v>994.96399999999994</v>
      </c>
      <c r="K95" s="22"/>
    </row>
    <row r="96" spans="1:15" x14ac:dyDescent="0.3">
      <c r="A96" s="1"/>
      <c r="B96" s="1"/>
      <c r="C96" s="1" t="s">
        <v>91</v>
      </c>
      <c r="D96" s="2">
        <v>5752.15</v>
      </c>
      <c r="E96" s="22">
        <f t="shared" si="33"/>
        <v>6902.579999999999</v>
      </c>
      <c r="F96" s="44">
        <f>900*12</f>
        <v>10800</v>
      </c>
      <c r="G96" s="44">
        <v>10000</v>
      </c>
      <c r="I96" s="22">
        <f t="shared" si="31"/>
        <v>-800</v>
      </c>
      <c r="J96" s="22">
        <f t="shared" si="32"/>
        <v>3097.420000000001</v>
      </c>
      <c r="K96" s="42" t="s">
        <v>135</v>
      </c>
      <c r="L96" s="22"/>
    </row>
    <row r="97" spans="1:12" x14ac:dyDescent="0.3">
      <c r="A97" s="1"/>
      <c r="B97" s="1"/>
      <c r="C97" s="1" t="s">
        <v>92</v>
      </c>
      <c r="D97" s="2">
        <v>5543.21</v>
      </c>
      <c r="E97" s="22">
        <f t="shared" si="33"/>
        <v>6651.8520000000008</v>
      </c>
      <c r="F97" s="44">
        <f>735*12</f>
        <v>8820</v>
      </c>
      <c r="G97" s="44">
        <v>9000</v>
      </c>
      <c r="I97" s="22">
        <f t="shared" si="31"/>
        <v>180</v>
      </c>
      <c r="J97" s="22">
        <f t="shared" si="32"/>
        <v>2348.1479999999992</v>
      </c>
      <c r="L97" s="22"/>
    </row>
    <row r="98" spans="1:12" x14ac:dyDescent="0.3">
      <c r="A98" s="1"/>
      <c r="B98" s="1"/>
      <c r="C98" s="1" t="s">
        <v>93</v>
      </c>
      <c r="D98" s="2">
        <v>30051.3</v>
      </c>
      <c r="E98" s="22">
        <f t="shared" si="33"/>
        <v>36061.56</v>
      </c>
      <c r="F98" s="44">
        <f>3000*12</f>
        <v>36000</v>
      </c>
      <c r="G98" s="44">
        <v>36000</v>
      </c>
      <c r="I98" s="22">
        <f t="shared" si="31"/>
        <v>0</v>
      </c>
      <c r="J98" s="22">
        <f t="shared" si="32"/>
        <v>-61.559999999997672</v>
      </c>
      <c r="L98" s="22"/>
    </row>
    <row r="99" spans="1:12" x14ac:dyDescent="0.3">
      <c r="A99" s="1"/>
      <c r="B99" s="1"/>
      <c r="C99" s="1" t="s">
        <v>94</v>
      </c>
      <c r="D99" s="2">
        <v>2400</v>
      </c>
      <c r="E99" s="22">
        <f t="shared" si="33"/>
        <v>2880</v>
      </c>
      <c r="F99" s="44">
        <f>360*12</f>
        <v>4320</v>
      </c>
      <c r="G99" s="44">
        <v>1200</v>
      </c>
      <c r="I99" s="22">
        <f t="shared" si="31"/>
        <v>-3120</v>
      </c>
      <c r="J99" s="22">
        <f t="shared" si="32"/>
        <v>-1680</v>
      </c>
      <c r="L99" s="22"/>
    </row>
    <row r="100" spans="1:12" x14ac:dyDescent="0.3">
      <c r="A100" s="1"/>
      <c r="B100" s="1"/>
      <c r="C100" s="28" t="s">
        <v>95</v>
      </c>
      <c r="D100" s="31">
        <v>0</v>
      </c>
      <c r="E100" s="31">
        <f t="shared" si="33"/>
        <v>0</v>
      </c>
      <c r="F100" s="44">
        <f>75*12</f>
        <v>900</v>
      </c>
      <c r="G100" s="45">
        <v>2500</v>
      </c>
      <c r="I100" s="22">
        <f t="shared" si="31"/>
        <v>1600</v>
      </c>
      <c r="J100" s="22">
        <f t="shared" si="32"/>
        <v>2500</v>
      </c>
      <c r="L100" s="22"/>
    </row>
    <row r="101" spans="1:12" x14ac:dyDescent="0.3">
      <c r="A101" s="1"/>
      <c r="B101" s="1"/>
      <c r="C101" s="1" t="s">
        <v>96</v>
      </c>
      <c r="D101" s="2">
        <v>28601.59</v>
      </c>
      <c r="E101" s="22">
        <f t="shared" si="33"/>
        <v>34321.908000000003</v>
      </c>
      <c r="F101" s="44">
        <f>1400*12</f>
        <v>16800</v>
      </c>
      <c r="G101" s="44">
        <f>34000-14000-3000-3500</f>
        <v>13500</v>
      </c>
      <c r="I101" s="22">
        <f t="shared" si="31"/>
        <v>-3300</v>
      </c>
      <c r="J101" s="22">
        <f t="shared" si="32"/>
        <v>-20821.908000000003</v>
      </c>
      <c r="K101" s="42" t="s">
        <v>136</v>
      </c>
      <c r="L101" s="22"/>
    </row>
    <row r="102" spans="1:12" x14ac:dyDescent="0.3">
      <c r="A102" s="1"/>
      <c r="B102" s="1"/>
      <c r="C102" s="1" t="s">
        <v>97</v>
      </c>
      <c r="D102" s="2">
        <v>12361.64</v>
      </c>
      <c r="E102" s="22">
        <f t="shared" si="33"/>
        <v>14833.968000000001</v>
      </c>
      <c r="F102" s="44">
        <v>16220</v>
      </c>
      <c r="G102" s="44">
        <f>300*12+13800+3000</f>
        <v>20400</v>
      </c>
      <c r="I102" s="22">
        <f t="shared" si="31"/>
        <v>4180</v>
      </c>
      <c r="J102" s="22">
        <f t="shared" si="32"/>
        <v>5566.0319999999992</v>
      </c>
      <c r="K102" s="42" t="s">
        <v>137</v>
      </c>
      <c r="L102" s="22"/>
    </row>
    <row r="103" spans="1:12" x14ac:dyDescent="0.3">
      <c r="A103" s="1"/>
      <c r="B103" s="1"/>
      <c r="C103" s="1" t="s">
        <v>98</v>
      </c>
      <c r="D103" s="2">
        <v>8657.67</v>
      </c>
      <c r="E103" s="27">
        <f t="shared" si="33"/>
        <v>10389.204000000002</v>
      </c>
      <c r="F103" s="44">
        <v>14280</v>
      </c>
      <c r="G103" s="44">
        <v>14280</v>
      </c>
      <c r="I103" s="22">
        <f t="shared" si="31"/>
        <v>0</v>
      </c>
      <c r="J103" s="22">
        <f t="shared" si="32"/>
        <v>3890.7959999999985</v>
      </c>
      <c r="K103" s="22"/>
    </row>
    <row r="104" spans="1:12" x14ac:dyDescent="0.3">
      <c r="A104" s="1"/>
      <c r="B104" s="1"/>
      <c r="C104" s="1" t="s">
        <v>99</v>
      </c>
      <c r="D104" s="2">
        <v>781.27</v>
      </c>
      <c r="E104" s="22">
        <f t="shared" si="33"/>
        <v>937.52399999999989</v>
      </c>
      <c r="F104" s="44">
        <f>115*12</f>
        <v>1380</v>
      </c>
      <c r="G104" s="44">
        <v>1200</v>
      </c>
      <c r="I104" s="22">
        <f t="shared" si="31"/>
        <v>-180</v>
      </c>
      <c r="J104" s="22">
        <f t="shared" si="32"/>
        <v>262.47600000000011</v>
      </c>
      <c r="K104" s="22"/>
    </row>
    <row r="105" spans="1:12" x14ac:dyDescent="0.3">
      <c r="A105" s="1"/>
      <c r="B105" s="1"/>
      <c r="C105" s="1" t="s">
        <v>100</v>
      </c>
      <c r="D105" s="2">
        <v>44251.65</v>
      </c>
      <c r="E105" s="22">
        <f t="shared" si="33"/>
        <v>53101.979999999996</v>
      </c>
      <c r="F105" s="44">
        <v>57120</v>
      </c>
      <c r="G105" s="44">
        <f>920000*0.07</f>
        <v>64400.000000000007</v>
      </c>
      <c r="I105" s="22">
        <f t="shared" si="31"/>
        <v>7280.0000000000073</v>
      </c>
      <c r="J105" s="22">
        <f t="shared" si="32"/>
        <v>11298.020000000011</v>
      </c>
      <c r="K105" s="34">
        <v>7.0000000000000007E-2</v>
      </c>
    </row>
    <row r="106" spans="1:12" x14ac:dyDescent="0.3">
      <c r="A106" s="1"/>
      <c r="B106" s="1"/>
      <c r="C106" s="1" t="s">
        <v>101</v>
      </c>
      <c r="D106" s="2">
        <v>6859.22</v>
      </c>
      <c r="E106" s="22">
        <f t="shared" si="33"/>
        <v>8231.0640000000003</v>
      </c>
      <c r="F106" s="44">
        <f>750*12</f>
        <v>9000</v>
      </c>
      <c r="G106" s="44">
        <f>650*12</f>
        <v>7800</v>
      </c>
      <c r="I106" s="22">
        <f t="shared" si="31"/>
        <v>-1200</v>
      </c>
      <c r="J106" s="22">
        <f t="shared" si="32"/>
        <v>-431.06400000000031</v>
      </c>
    </row>
    <row r="107" spans="1:12" x14ac:dyDescent="0.3">
      <c r="A107" s="1"/>
      <c r="B107" s="1"/>
      <c r="C107" s="1" t="s">
        <v>102</v>
      </c>
      <c r="D107" s="2">
        <v>30663.81</v>
      </c>
      <c r="E107" s="22">
        <f t="shared" si="33"/>
        <v>36796.572</v>
      </c>
      <c r="F107" s="44">
        <f>3000*12</f>
        <v>36000</v>
      </c>
      <c r="G107" s="44">
        <v>36000</v>
      </c>
      <c r="I107" s="22">
        <f t="shared" si="31"/>
        <v>0</v>
      </c>
      <c r="J107" s="22">
        <f t="shared" si="32"/>
        <v>-796.57200000000012</v>
      </c>
    </row>
    <row r="108" spans="1:12" ht="15" thickBot="1" x14ac:dyDescent="0.35">
      <c r="A108" s="1"/>
      <c r="B108" s="1"/>
      <c r="C108" s="1" t="s">
        <v>103</v>
      </c>
      <c r="D108" s="4">
        <v>346.75</v>
      </c>
      <c r="E108" s="22">
        <f t="shared" si="33"/>
        <v>416.09999999999997</v>
      </c>
      <c r="F108" s="44">
        <f>125*12</f>
        <v>1500</v>
      </c>
      <c r="G108" s="46">
        <f>120*12</f>
        <v>1440</v>
      </c>
      <c r="I108" s="22">
        <f t="shared" si="31"/>
        <v>-60</v>
      </c>
      <c r="J108" s="16">
        <f t="shared" si="32"/>
        <v>1023.9000000000001</v>
      </c>
    </row>
    <row r="109" spans="1:12" ht="15" thickBot="1" x14ac:dyDescent="0.35">
      <c r="A109" s="1"/>
      <c r="B109" s="1" t="s">
        <v>104</v>
      </c>
      <c r="C109" s="1"/>
      <c r="D109" s="5">
        <f>ROUND(SUM(D93:D108),5)</f>
        <v>195482.79</v>
      </c>
      <c r="E109" s="17">
        <v>201431.51199999999</v>
      </c>
      <c r="F109" s="48">
        <f>ROUND(SUM(F94:F108),5)</f>
        <v>219572</v>
      </c>
      <c r="G109" s="48">
        <f>ROUND(SUM(G94:G108),5)</f>
        <v>239755</v>
      </c>
      <c r="H109" s="32">
        <f>+G109/G110</f>
        <v>7.7331574134500328E-2</v>
      </c>
      <c r="I109" s="24">
        <v>-19936</v>
      </c>
      <c r="J109" s="24">
        <v>18140.488000000001</v>
      </c>
    </row>
    <row r="110" spans="1:12" ht="15" thickBot="1" x14ac:dyDescent="0.35">
      <c r="A110" s="1" t="s">
        <v>105</v>
      </c>
      <c r="B110" s="1"/>
      <c r="C110" s="1"/>
      <c r="D110" s="5">
        <f>ROUND(D27+D33+D44+D54+D74+D86+D92+D109,5)</f>
        <v>1635405.96</v>
      </c>
      <c r="E110" s="17">
        <v>2558718.3879999998</v>
      </c>
      <c r="F110" s="48">
        <f>ROUND(F27+F33+F44+F54+F74+F86+F92+F109,5)</f>
        <v>2594114</v>
      </c>
      <c r="G110" s="48">
        <f>ROUND(G27+G33+G44+G54+G74+G86+G92+G109,5)</f>
        <v>3100350.7</v>
      </c>
      <c r="I110" s="24">
        <v>-366971.2</v>
      </c>
      <c r="J110" s="24">
        <v>64001.928</v>
      </c>
    </row>
    <row r="111" spans="1:12" s="8" customFormat="1" ht="10.8" thickBot="1" x14ac:dyDescent="0.25">
      <c r="A111" s="1"/>
      <c r="B111" s="1"/>
      <c r="C111" s="1"/>
      <c r="D111" s="7">
        <f>ROUND(D26-D110,5)</f>
        <v>-9774.6</v>
      </c>
      <c r="E111" s="18">
        <v>-167806.22</v>
      </c>
      <c r="F111" s="26">
        <f>ROUND(F26-F110,5)</f>
        <v>0</v>
      </c>
      <c r="G111" s="26">
        <f>ROUND(G26-G110,5)</f>
        <v>1449.3</v>
      </c>
      <c r="I111" s="26">
        <v>-196686.8</v>
      </c>
      <c r="J111" s="26">
        <v>139199.90400000001</v>
      </c>
    </row>
    <row r="112" spans="1:12" ht="3.75" customHeight="1" thickTop="1" x14ac:dyDescent="0.3">
      <c r="E112" s="13"/>
    </row>
    <row r="113" spans="2:4" x14ac:dyDescent="0.3">
      <c r="C113" s="11" t="s">
        <v>111</v>
      </c>
      <c r="D113" s="22">
        <v>1500</v>
      </c>
    </row>
    <row r="114" spans="2:4" x14ac:dyDescent="0.3">
      <c r="B114" s="38" t="s">
        <v>113</v>
      </c>
      <c r="C114" s="22" t="s">
        <v>118</v>
      </c>
    </row>
    <row r="115" spans="2:4" x14ac:dyDescent="0.3">
      <c r="B115" s="38" t="s">
        <v>114</v>
      </c>
      <c r="C115" s="39" t="s">
        <v>119</v>
      </c>
    </row>
    <row r="116" spans="2:4" x14ac:dyDescent="0.3">
      <c r="B116" s="38" t="s">
        <v>115</v>
      </c>
      <c r="C116" s="22" t="s">
        <v>117</v>
      </c>
    </row>
    <row r="117" spans="2:4" x14ac:dyDescent="0.3">
      <c r="B117" s="38" t="s">
        <v>116</v>
      </c>
      <c r="C117" s="40" t="s">
        <v>122</v>
      </c>
    </row>
    <row r="118" spans="2:4" ht="8.25" customHeight="1" x14ac:dyDescent="0.3"/>
    <row r="119" spans="2:4" x14ac:dyDescent="0.3">
      <c r="B119" s="42" t="s">
        <v>123</v>
      </c>
      <c r="C119" s="40" t="s">
        <v>124</v>
      </c>
    </row>
    <row r="120" spans="2:4" x14ac:dyDescent="0.3">
      <c r="B120" s="42" t="s">
        <v>125</v>
      </c>
      <c r="C120" s="39" t="s">
        <v>129</v>
      </c>
    </row>
    <row r="121" spans="2:4" x14ac:dyDescent="0.3">
      <c r="B121" s="42" t="s">
        <v>128</v>
      </c>
      <c r="C121" s="40" t="s">
        <v>126</v>
      </c>
    </row>
    <row r="122" spans="2:4" x14ac:dyDescent="0.3">
      <c r="B122" s="42" t="s">
        <v>130</v>
      </c>
      <c r="C122" s="39" t="s">
        <v>139</v>
      </c>
    </row>
    <row r="123" spans="2:4" x14ac:dyDescent="0.3">
      <c r="B123" s="42" t="s">
        <v>131</v>
      </c>
      <c r="C123" s="22" t="s">
        <v>140</v>
      </c>
    </row>
    <row r="124" spans="2:4" x14ac:dyDescent="0.3">
      <c r="B124" s="42" t="s">
        <v>132</v>
      </c>
      <c r="C124" s="22" t="s">
        <v>138</v>
      </c>
    </row>
    <row r="125" spans="2:4" x14ac:dyDescent="0.3">
      <c r="B125" s="42" t="s">
        <v>133</v>
      </c>
      <c r="C125" s="22" t="s">
        <v>141</v>
      </c>
    </row>
    <row r="126" spans="2:4" x14ac:dyDescent="0.3">
      <c r="B126" s="42" t="s">
        <v>134</v>
      </c>
      <c r="C126" s="22" t="s">
        <v>142</v>
      </c>
    </row>
    <row r="127" spans="2:4" x14ac:dyDescent="0.3">
      <c r="B127" s="42" t="s">
        <v>135</v>
      </c>
      <c r="C127" s="22" t="s">
        <v>143</v>
      </c>
    </row>
    <row r="128" spans="2:4" x14ac:dyDescent="0.3">
      <c r="B128" s="42" t="s">
        <v>136</v>
      </c>
      <c r="C128" s="22" t="s">
        <v>144</v>
      </c>
    </row>
    <row r="129" spans="1:10" x14ac:dyDescent="0.3">
      <c r="B129" s="42" t="s">
        <v>137</v>
      </c>
      <c r="C129" s="22" t="s">
        <v>145</v>
      </c>
    </row>
    <row r="130" spans="1:10" s="21" customFormat="1" ht="6" customHeight="1" x14ac:dyDescent="0.3">
      <c r="A130" s="11"/>
      <c r="B130" s="42"/>
      <c r="C130" s="22"/>
      <c r="D130" s="19"/>
      <c r="E130" s="19"/>
      <c r="G130" s="19"/>
      <c r="J130" s="19"/>
    </row>
    <row r="131" spans="1:10" x14ac:dyDescent="0.3">
      <c r="B131" s="52" t="s">
        <v>146</v>
      </c>
      <c r="C131" s="39" t="s">
        <v>147</v>
      </c>
    </row>
    <row r="132" spans="1:10" x14ac:dyDescent="0.3">
      <c r="C132" s="53" t="s">
        <v>148</v>
      </c>
    </row>
    <row r="133" spans="1:10" x14ac:dyDescent="0.3">
      <c r="C133" s="53" t="s">
        <v>149</v>
      </c>
    </row>
    <row r="135" spans="1:10" x14ac:dyDescent="0.3">
      <c r="C135" s="39" t="s">
        <v>150</v>
      </c>
    </row>
  </sheetData>
  <pageMargins left="0.7" right="0.7" top="0.75" bottom="0.75" header="0.3" footer="0.3"/>
  <pageSetup scale="49" fitToHeight="0" orientation="portrait" r:id="rId1"/>
  <headerFooter>
    <oddHeader>&amp;L&amp;"Arial,Bold"&amp;8 5:08 PM
&amp;"Arial,Bold"&amp;8 05/25/21
&amp;"Arial,Bold"&amp;8 Accrual Basis&amp;C&amp;"Arial,Bold"&amp;12 Habitat for Humanity of Catawba Valley
&amp;"Arial,Bold"&amp;14 Profit &amp;&amp; Loss Budget vs. Actual
&amp;"Arial,Bold"&amp;10 July 2020 through April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662940</xdr:colOff>
                <xdr:row>2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662940</xdr:colOff>
                <xdr:row>2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 actual</vt:lpstr>
      <vt:lpstr>'Budget vs actual'!Print_Titles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Mitzi Gellman</cp:lastModifiedBy>
  <cp:lastPrinted>2021-06-28T15:41:16Z</cp:lastPrinted>
  <dcterms:created xsi:type="dcterms:W3CDTF">2021-05-25T21:08:02Z</dcterms:created>
  <dcterms:modified xsi:type="dcterms:W3CDTF">2021-06-28T15:55:07Z</dcterms:modified>
</cp:coreProperties>
</file>