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a\Documents\Jenna\Board\board reports\July 22 board meeting\"/>
    </mc:Choice>
  </mc:AlternateContent>
  <xr:revisionPtr revIDLastSave="0" documentId="8_{AB1AB8E1-C63E-4B73-A102-F4E81E0857BB}" xr6:coauthVersionLast="47" xr6:coauthVersionMax="47" xr10:uidLastSave="{00000000-0000-0000-0000-000000000000}"/>
  <bookViews>
    <workbookView xWindow="-90" yWindow="-90" windowWidth="19380" windowHeight="11580" xr2:uid="{EF6DA074-5014-437E-9CED-07626BF55669}"/>
  </bookViews>
  <sheets>
    <sheet name="Budget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Budget!$A:$C,Budget!$2:$3</definedName>
    <definedName name="QB_COLUMN_59200" localSheetId="0" hidden="1">Budget!$D$3</definedName>
    <definedName name="QB_COLUMN_61210" localSheetId="0" hidden="1">Budget!#REF!</definedName>
    <definedName name="QB_COLUMN_63620" localSheetId="0" hidden="1">Budget!#REF!</definedName>
    <definedName name="QB_DATA_0" localSheetId="0" hidden="1">Budget!$5:$5,Budget!$7:$7,Budget!$8:$8,Budget!$9:$9,Budget!$10:$10,Budget!$11:$11,Budget!$12:$12,Budget!$13:$13,Budget!$16:$16,Budget!$17:$17,Budget!$18:$18,Budget!$21:$21,Budget!$22:$22,Budget!$28:$28,Budget!$29:$29,Budget!$30:$30</definedName>
    <definedName name="QB_DATA_1" localSheetId="0" hidden="1">Budget!$31:$31,Budget!$34:$34,Budget!$35:$35,Budget!$36:$36,Budget!$37:$37,Budget!$38:$38,Budget!$39:$39,Budget!$40:$40,Budget!$41:$41,Budget!$42:$42,Budget!$45:$45,Budget!$46:$46,Budget!$47:$47,Budget!$48:$48,Budget!$49:$49,Budget!$50:$50</definedName>
    <definedName name="QB_DATA_2" localSheetId="0" hidden="1">Budget!$51:$51,Budget!$52:$52,Budget!$56:$56,Budget!$57:$57,Budget!$58:$58,Budget!$59:$59,Budget!$60:$60,Budget!$61:$61,Budget!$62:$62,Budget!$63:$63,Budget!$64:$64,Budget!$65:$65,Budget!$66:$66,Budget!$67:$67,Budget!$68:$68,Budget!$69:$69</definedName>
    <definedName name="QB_DATA_3" localSheetId="0" hidden="1">Budget!$70:$70,Budget!$71:$71,Budget!$72:$72,Budget!$73:$73,Budget!$76:$76,Budget!$77:$77,Budget!$78:$78,Budget!$79:$79,Budget!$80:$80,Budget!$81:$81,Budget!$82:$82,Budget!$83:$83,Budget!$84:$84,Budget!$85:$85,Budget!$86:$86,Budget!$89:$89</definedName>
    <definedName name="QB_DATA_4" localSheetId="0" hidden="1">Budget!$90:$90,Budget!$91:$91,Budget!$92:$92,Budget!$95:$95,Budget!$96:$96,Budget!$97:$97,Budget!$98:$98,Budget!$99:$99,Budget!$100:$100,Budget!$101:$101,Budget!$102:$102,Budget!$103:$103,Budget!$104:$104,Budget!$105:$105,Budget!$106:$106,Budget!$107:$107</definedName>
    <definedName name="QB_DATA_5" localSheetId="0" hidden="1">Budget!$108:$108,Budget!$109:$109,Budget!$110:$110</definedName>
    <definedName name="QB_FORMULA_0" localSheetId="0" hidden="1">Budget!#REF!,Budget!#REF!,Budget!#REF!,Budget!#REF!,Budget!#REF!,Budget!#REF!,Budget!#REF!,Budget!#REF!,Budget!$D$14,Budget!#REF!,Budget!#REF!,Budget!#REF!,Budget!#REF!,Budget!#REF!,Budget!$D$19,Budget!#REF!</definedName>
    <definedName name="QB_FORMULA_1" localSheetId="0" hidden="1">Budget!#REF!,Budget!#REF!,Budget!#REF!,Budget!$D$23,Budget!#REF!,Budget!#REF!,Budget!$D$24,Budget!#REF!,Budget!#REF!,Budget!$D$25,Budget!#REF!,Budget!#REF!,Budget!#REF!,Budget!#REF!,Budget!#REF!,Budget!#REF!</definedName>
    <definedName name="QB_FORMULA_2" localSheetId="0" hidden="1">Budget!$D$32,Budget!#REF!,Budget!#REF!,Budget!#REF!,Budget!#REF!,Budget!#REF!,Budget!#REF!,Budget!#REF!,Budget!#REF!,Budget!#REF!,Budget!#REF!,Budget!#REF!,Budget!$D$43,Budget!#REF!,Budget!#REF!,Budget!#REF!</definedName>
    <definedName name="QB_FORMULA_3" localSheetId="0" hidden="1">Budget!#REF!,Budget!#REF!,Budget!#REF!,Budget!#REF!,Budget!#REF!,Budget!#REF!,Budget!#REF!,Budget!$D$53,Budget!#REF!,Budget!#REF!,Budget!#REF!,Budget!#REF!,Budget!#REF!,Budget!#REF!,Budget!#REF!,Budget!#REF!</definedName>
    <definedName name="QB_FORMULA_4" localSheetId="0" hidden="1">Budget!#REF!,Budget!#REF!,Budget!#REF!,Budget!#REF!,Budget!#REF!,Budget!#REF!,Budget!#REF!,Budget!#REF!,Budget!#REF!,Budget!#REF!,Budget!#REF!,Budget!#REF!,Budget!$D$74,Budget!#REF!,Budget!#REF!,Budget!#REF!</definedName>
    <definedName name="QB_FORMULA_5" localSheetId="0" hidden="1">Budget!#REF!,Budget!#REF!,Budget!#REF!,Budget!#REF!,Budget!#REF!,Budget!#REF!,Budget!#REF!,Budget!#REF!,Budget!#REF!,Budget!#REF!,Budget!$D$87,Budget!#REF!,Budget!#REF!,Budget!#REF!,Budget!#REF!,Budget!#REF!</definedName>
    <definedName name="QB_FORMULA_6" localSheetId="0" hidden="1">Budget!#REF!,Budget!$D$93,Budget!#REF!,Budget!#REF!,Budget!#REF!,Budget!#REF!,Budget!#REF!,Budget!#REF!,Budget!#REF!,Budget!#REF!,Budget!#REF!,Budget!#REF!,Budget!#REF!,Budget!#REF!,Budget!#REF!,Budget!#REF!</definedName>
    <definedName name="QB_FORMULA_7" localSheetId="0" hidden="1">Budget!#REF!,Budget!#REF!,Budget!#REF!,Budget!#REF!,Budget!$D$111,Budget!#REF!,Budget!#REF!,Budget!$D$112,Budget!#REF!,Budget!#REF!,Budget!$D$113,Budget!#REF!,Budget!#REF!</definedName>
    <definedName name="QB_ROW_107340" localSheetId="0" hidden="1">Budget!$C$13</definedName>
    <definedName name="QB_ROW_118240" localSheetId="0" hidden="1">Budget!$C$16</definedName>
    <definedName name="QB_ROW_122240" localSheetId="0" hidden="1">Budget!$C$28</definedName>
    <definedName name="QB_ROW_125240" localSheetId="0" hidden="1">Budget!$C$29</definedName>
    <definedName name="QB_ROW_127240" localSheetId="0" hidden="1">Budget!$C$11</definedName>
    <definedName name="QB_ROW_129240" localSheetId="0" hidden="1">Budget!$C$30</definedName>
    <definedName name="QB_ROW_130240" localSheetId="0" hidden="1">Budget!$C$31</definedName>
    <definedName name="QB_ROW_132240" localSheetId="0" hidden="1">Budget!$C$34</definedName>
    <definedName name="QB_ROW_133240" localSheetId="0" hidden="1">Budget!$C$35</definedName>
    <definedName name="QB_ROW_138240" localSheetId="0" hidden="1">Budget!$C$37</definedName>
    <definedName name="QB_ROW_142030" localSheetId="0" hidden="1">Budget!$B$33</definedName>
    <definedName name="QB_ROW_142330" localSheetId="0" hidden="1">Budget!$B$43</definedName>
    <definedName name="QB_ROW_143030" localSheetId="0" hidden="1">Budget!$B$27</definedName>
    <definedName name="QB_ROW_143330" localSheetId="0" hidden="1">Budget!$B$32</definedName>
    <definedName name="QB_ROW_144240" localSheetId="0" hidden="1">Budget!$C$38</definedName>
    <definedName name="QB_ROW_145240" localSheetId="0" hidden="1">Budget!$C$60</definedName>
    <definedName name="QB_ROW_150240" localSheetId="0" hidden="1">Budget!$C$61</definedName>
    <definedName name="QB_ROW_153240" localSheetId="0" hidden="1">Budget!$C$67</definedName>
    <definedName name="QB_ROW_154240" localSheetId="0" hidden="1">Budget!$C$69</definedName>
    <definedName name="QB_ROW_156030" localSheetId="0" hidden="1">Budget!$B$94</definedName>
    <definedName name="QB_ROW_156330" localSheetId="0" hidden="1">Budget!$B$111</definedName>
    <definedName name="QB_ROW_157240" localSheetId="0" hidden="1">Budget!$C$39</definedName>
    <definedName name="QB_ROW_159240" localSheetId="0" hidden="1">Budget!$C$41</definedName>
    <definedName name="QB_ROW_161240" localSheetId="0" hidden="1">Budget!$C$42</definedName>
    <definedName name="QB_ROW_163030" localSheetId="0" hidden="1">Budget!$B$75</definedName>
    <definedName name="QB_ROW_163330" localSheetId="0" hidden="1">Budget!$B$87</definedName>
    <definedName name="QB_ROW_164240" localSheetId="0" hidden="1">Budget!$C$76</definedName>
    <definedName name="QB_ROW_165240" localSheetId="0" hidden="1">Budget!$C$79</definedName>
    <definedName name="QB_ROW_166240" localSheetId="0" hidden="1">Budget!$C$81</definedName>
    <definedName name="QB_ROW_169240" localSheetId="0" hidden="1">Budget!$C$82</definedName>
    <definedName name="QB_ROW_170240" localSheetId="0" hidden="1">Budget!$C$83</definedName>
    <definedName name="QB_ROW_176240" localSheetId="0" hidden="1">Budget!$C$63</definedName>
    <definedName name="QB_ROW_177240" localSheetId="0" hidden="1">Budget!$C$57</definedName>
    <definedName name="QB_ROW_178240" localSheetId="0" hidden="1">Budget!$C$58</definedName>
    <definedName name="QB_ROW_182240" localSheetId="0" hidden="1">Budget!$C$40</definedName>
    <definedName name="QB_ROW_18301" localSheetId="0" hidden="1">Budget!$A$113</definedName>
    <definedName name="QB_ROW_184240" localSheetId="0" hidden="1">Budget!$C$91</definedName>
    <definedName name="QB_ROW_186240" localSheetId="0" hidden="1">Budget!$C$110</definedName>
    <definedName name="QB_ROW_189240" localSheetId="0" hidden="1">Budget!$C$107</definedName>
    <definedName name="QB_ROW_190030" localSheetId="0" hidden="1">Budget!$B$20</definedName>
    <definedName name="QB_ROW_190240" localSheetId="0" hidden="1">Budget!$C$22</definedName>
    <definedName name="QB_ROW_190330" localSheetId="0" hidden="1">Budget!$B$23</definedName>
    <definedName name="QB_ROW_192230" localSheetId="0" hidden="1">Budget!$B$5</definedName>
    <definedName name="QB_ROW_193030" localSheetId="0" hidden="1">Budget!$B$88</definedName>
    <definedName name="QB_ROW_193330" localSheetId="0" hidden="1">Budget!$B$93</definedName>
    <definedName name="QB_ROW_194240" localSheetId="0" hidden="1">Budget!$C$97</definedName>
    <definedName name="QB_ROW_195240" localSheetId="0" hidden="1">Budget!$C$103</definedName>
    <definedName name="QB_ROW_196340" localSheetId="0" hidden="1">Budget!$C$73</definedName>
    <definedName name="QB_ROW_197030" localSheetId="0" hidden="1">Budget!$B$54</definedName>
    <definedName name="QB_ROW_197330" localSheetId="0" hidden="1">Budget!$B$74</definedName>
    <definedName name="QB_ROW_20022" localSheetId="0" hidden="1">Budget!#REF!</definedName>
    <definedName name="QB_ROW_201240" localSheetId="0" hidden="1">Budget!$C$108</definedName>
    <definedName name="QB_ROW_202240" localSheetId="0" hidden="1">Budget!$C$98</definedName>
    <definedName name="QB_ROW_20322" localSheetId="0" hidden="1">Budget!#REF!</definedName>
    <definedName name="QB_ROW_208240" localSheetId="0" hidden="1">Budget!$C$72</definedName>
    <definedName name="QB_ROW_209240" localSheetId="0" hidden="1">Budget!$C$109</definedName>
    <definedName name="QB_ROW_21022" localSheetId="0" hidden="1">Budget!#REF!</definedName>
    <definedName name="QB_ROW_211240" localSheetId="0" hidden="1">Budget!$C$106</definedName>
    <definedName name="QB_ROW_212030" localSheetId="0" hidden="1">Budget!$B$6</definedName>
    <definedName name="QB_ROW_212330" localSheetId="0" hidden="1">Budget!$B$14</definedName>
    <definedName name="QB_ROW_21322" localSheetId="0" hidden="1">Budget!#REF!</definedName>
    <definedName name="QB_ROW_213240" localSheetId="0" hidden="1">Budget!$C$71</definedName>
    <definedName name="QB_ROW_236240" localSheetId="0" hidden="1">Budget!$C$89</definedName>
    <definedName name="QB_ROW_237240" localSheetId="0" hidden="1">Budget!$C$90</definedName>
    <definedName name="QB_ROW_314240" localSheetId="0" hidden="1">Budget!$C$99</definedName>
    <definedName name="QB_ROW_323240" localSheetId="0" hidden="1">Budget!$C$36</definedName>
    <definedName name="QB_ROW_3340" localSheetId="0" hidden="1">Budget!$C$17</definedName>
    <definedName name="QB_ROW_334240" localSheetId="0" hidden="1">Budget!$C$70</definedName>
    <definedName name="QB_ROW_335240" localSheetId="0" hidden="1">Budget!$C$104</definedName>
    <definedName name="QB_ROW_341240" localSheetId="0" hidden="1">Budget!$C$56</definedName>
    <definedName name="QB_ROW_34240" localSheetId="0" hidden="1">Budget!$C$100</definedName>
    <definedName name="QB_ROW_35240" localSheetId="0" hidden="1">Budget!$C$92</definedName>
    <definedName name="QB_ROW_360240" localSheetId="0" hidden="1">Budget!$C$105</definedName>
    <definedName name="QB_ROW_36240" localSheetId="0" hidden="1">Budget!$C$21</definedName>
    <definedName name="QB_ROW_364240" localSheetId="0" hidden="1">Budget!$C$64</definedName>
    <definedName name="QB_ROW_380030" localSheetId="0" hidden="1">Budget!$B$15</definedName>
    <definedName name="QB_ROW_380240" localSheetId="0" hidden="1">Budget!$C$18</definedName>
    <definedName name="QB_ROW_380330" localSheetId="0" hidden="1">Budget!$B$19</definedName>
    <definedName name="QB_ROW_396240" localSheetId="0" hidden="1">Budget!$C$96</definedName>
    <definedName name="QB_ROW_409240" localSheetId="0" hidden="1">Budget!$C$84</definedName>
    <definedName name="QB_ROW_440240" localSheetId="0" hidden="1">Budget!$C$85</definedName>
    <definedName name="QB_ROW_454240" localSheetId="0" hidden="1">Budget!$C$8</definedName>
    <definedName name="QB_ROW_455240" localSheetId="0" hidden="1">Budget!$C$9</definedName>
    <definedName name="QB_ROW_456240" localSheetId="0" hidden="1">Budget!$C$10</definedName>
    <definedName name="QB_ROW_472240" localSheetId="0" hidden="1">Budget!$C$78</definedName>
    <definedName name="QB_ROW_498240" localSheetId="0" hidden="1">Budget!$C$62</definedName>
    <definedName name="QB_ROW_5240" localSheetId="0" hidden="1">Budget!$C$12</definedName>
    <definedName name="QB_ROW_531240" localSheetId="0" hidden="1">Budget!$C$77</definedName>
    <definedName name="QB_ROW_592240" localSheetId="0" hidden="1">Budget!$C$59</definedName>
    <definedName name="QB_ROW_768240" localSheetId="0" hidden="1">Budget!$C$65</definedName>
    <definedName name="QB_ROW_769240" localSheetId="0" hidden="1">Budget!$C$68</definedName>
    <definedName name="QB_ROW_778240" localSheetId="0" hidden="1">Budget!$C$80</definedName>
    <definedName name="QB_ROW_779240" localSheetId="0" hidden="1">Budget!$C$95</definedName>
    <definedName name="QB_ROW_797240" localSheetId="0" hidden="1">Budget!$C$101</definedName>
    <definedName name="QB_ROW_808240" localSheetId="0" hidden="1">Budget!$C$49</definedName>
    <definedName name="QB_ROW_813240" localSheetId="0" hidden="1">Budget!$C$66</definedName>
    <definedName name="QB_ROW_825030" localSheetId="0" hidden="1">Budget!$B$44</definedName>
    <definedName name="QB_ROW_825330" localSheetId="0" hidden="1">Budget!$B$53</definedName>
    <definedName name="QB_ROW_826240" localSheetId="0" hidden="1">Budget!$C$45</definedName>
    <definedName name="QB_ROW_827240" localSheetId="0" hidden="1">Budget!$C$46</definedName>
    <definedName name="QB_ROW_828240" localSheetId="0" hidden="1">Budget!$C$48</definedName>
    <definedName name="QB_ROW_829240" localSheetId="0" hidden="1">Budget!$C$50</definedName>
    <definedName name="QB_ROW_830240" localSheetId="0" hidden="1">Budget!$C$51</definedName>
    <definedName name="QB_ROW_844240" localSheetId="0" hidden="1">Budget!$C$52</definedName>
    <definedName name="QB_ROW_847240" localSheetId="0" hidden="1">Budget!$C$102</definedName>
    <definedName name="QB_ROW_851240" localSheetId="0" hidden="1">Budget!$C$86</definedName>
    <definedName name="QB_ROW_856240" localSheetId="0" hidden="1">Budget!$C$47</definedName>
    <definedName name="QB_ROW_86311" localSheetId="0" hidden="1">Budget!#REF!</definedName>
    <definedName name="QB_ROW_99240" localSheetId="0" hidden="1">Budget!$C$7</definedName>
    <definedName name="QBCANSUPPORTUPDATE" localSheetId="0">TRUE</definedName>
    <definedName name="QBCOMPANYFILENAME" localSheetId="0">"Q:\Habitat.QBW"</definedName>
    <definedName name="QBENDDATE" localSheetId="0">20220430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"73ff819a7f1749cd89e247e5e9205a75"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TRUE</definedName>
    <definedName name="QBREPORTCOMPARECOL_PYDIFF" localSheetId="0">TRUE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1</definedName>
    <definedName name="QBROWHEADERS" localSheetId="0">5</definedName>
    <definedName name="QBSTARTDATE" localSheetId="0">20210701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" i="1" l="1"/>
  <c r="J24" i="1" s="1"/>
  <c r="G89" i="1"/>
  <c r="J89" i="1"/>
  <c r="J109" i="1"/>
  <c r="E113" i="1"/>
  <c r="F113" i="1"/>
  <c r="D113" i="1"/>
  <c r="F112" i="1"/>
  <c r="E112" i="1"/>
  <c r="D112" i="1"/>
  <c r="J111" i="1"/>
  <c r="I111" i="1"/>
  <c r="G111" i="1"/>
  <c r="F111" i="1"/>
  <c r="E111" i="1"/>
  <c r="D111" i="1"/>
  <c r="F93" i="1"/>
  <c r="E93" i="1"/>
  <c r="D93" i="1"/>
  <c r="I87" i="1"/>
  <c r="G87" i="1"/>
  <c r="F87" i="1"/>
  <c r="E87" i="1"/>
  <c r="D87" i="1"/>
  <c r="J74" i="1"/>
  <c r="I74" i="1"/>
  <c r="G74" i="1"/>
  <c r="F74" i="1"/>
  <c r="E74" i="1"/>
  <c r="J32" i="1"/>
  <c r="I32" i="1"/>
  <c r="G32" i="1"/>
  <c r="F32" i="1"/>
  <c r="E32" i="1"/>
  <c r="D32" i="1"/>
  <c r="I24" i="1"/>
  <c r="G24" i="1"/>
  <c r="F24" i="1"/>
  <c r="E24" i="1"/>
  <c r="D24" i="1"/>
  <c r="E14" i="1"/>
  <c r="D14" i="1"/>
  <c r="G107" i="1"/>
  <c r="G5" i="1"/>
  <c r="G55" i="1"/>
  <c r="F23" i="1"/>
  <c r="G83" i="1"/>
  <c r="G9" i="1"/>
  <c r="G49" i="1"/>
  <c r="G34" i="1"/>
  <c r="G103" i="1" l="1"/>
  <c r="G22" i="1" l="1"/>
  <c r="E92" i="1"/>
  <c r="E91" i="1"/>
  <c r="E90" i="1"/>
  <c r="E89" i="1"/>
  <c r="E48" i="1"/>
  <c r="E47" i="1"/>
  <c r="E46" i="1"/>
  <c r="E45" i="1"/>
  <c r="G23" i="1" l="1"/>
  <c r="I22" i="1"/>
  <c r="G97" i="1"/>
  <c r="J55" i="1"/>
  <c r="D149" i="1"/>
  <c r="D154" i="1" s="1"/>
  <c r="G108" i="1"/>
  <c r="G18" i="1"/>
  <c r="I56" i="1"/>
  <c r="G70" i="1"/>
  <c r="I70" i="1" s="1"/>
  <c r="E34" i="1"/>
  <c r="E5" i="1"/>
  <c r="E31" i="1"/>
  <c r="E30" i="1"/>
  <c r="E29" i="1"/>
  <c r="E28" i="1"/>
  <c r="E7" i="1"/>
  <c r="J7" i="1" s="1"/>
  <c r="E8" i="1"/>
  <c r="J8" i="1" s="1"/>
  <c r="I109" i="1"/>
  <c r="I106" i="1"/>
  <c r="I105" i="1"/>
  <c r="I102" i="1"/>
  <c r="I101" i="1"/>
  <c r="I100" i="1"/>
  <c r="I99" i="1"/>
  <c r="I98" i="1"/>
  <c r="I96" i="1"/>
  <c r="I95" i="1"/>
  <c r="I89" i="1"/>
  <c r="I85" i="1"/>
  <c r="I84" i="1"/>
  <c r="I82" i="1"/>
  <c r="I81" i="1"/>
  <c r="I80" i="1"/>
  <c r="I72" i="1"/>
  <c r="I71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2" i="1"/>
  <c r="I51" i="1"/>
  <c r="I45" i="1"/>
  <c r="I42" i="1"/>
  <c r="I40" i="1"/>
  <c r="I38" i="1"/>
  <c r="I36" i="1"/>
  <c r="I35" i="1"/>
  <c r="I28" i="1"/>
  <c r="I21" i="1"/>
  <c r="I17" i="1"/>
  <c r="I16" i="1"/>
  <c r="I13" i="1"/>
  <c r="I12" i="1"/>
  <c r="I7" i="1"/>
  <c r="J45" i="1"/>
  <c r="J21" i="1"/>
  <c r="I11" i="1"/>
  <c r="I10" i="1"/>
  <c r="I8" i="1"/>
  <c r="G104" i="1"/>
  <c r="G92" i="1"/>
  <c r="J92" i="1" s="1"/>
  <c r="G91" i="1"/>
  <c r="J91" i="1" s="1"/>
  <c r="G90" i="1"/>
  <c r="G86" i="1"/>
  <c r="G79" i="1"/>
  <c r="G77" i="1"/>
  <c r="G73" i="1"/>
  <c r="G48" i="1"/>
  <c r="G47" i="1"/>
  <c r="G46" i="1"/>
  <c r="G31" i="1"/>
  <c r="G30" i="1"/>
  <c r="G29" i="1"/>
  <c r="G14" i="1"/>
  <c r="F110" i="1"/>
  <c r="I110" i="1" s="1"/>
  <c r="F108" i="1"/>
  <c r="F107" i="1"/>
  <c r="F104" i="1"/>
  <c r="F103" i="1"/>
  <c r="I103" i="1" s="1"/>
  <c r="F97" i="1"/>
  <c r="F92" i="1"/>
  <c r="F91" i="1"/>
  <c r="F90" i="1"/>
  <c r="F86" i="1"/>
  <c r="F83" i="1"/>
  <c r="F79" i="1"/>
  <c r="F78" i="1"/>
  <c r="I78" i="1" s="1"/>
  <c r="F77" i="1"/>
  <c r="F76" i="1"/>
  <c r="I76" i="1" s="1"/>
  <c r="F73" i="1"/>
  <c r="F50" i="1"/>
  <c r="I50" i="1" s="1"/>
  <c r="F49" i="1"/>
  <c r="F48" i="1"/>
  <c r="F47" i="1"/>
  <c r="F46" i="1"/>
  <c r="F41" i="1"/>
  <c r="I41" i="1" s="1"/>
  <c r="F39" i="1"/>
  <c r="I39" i="1" s="1"/>
  <c r="F37" i="1"/>
  <c r="I37" i="1" s="1"/>
  <c r="F34" i="1"/>
  <c r="F31" i="1"/>
  <c r="F30" i="1"/>
  <c r="F29" i="1"/>
  <c r="F18" i="1"/>
  <c r="F19" i="1" s="1"/>
  <c r="F9" i="1"/>
  <c r="F14" i="1" s="1"/>
  <c r="F5" i="1"/>
  <c r="E96" i="1"/>
  <c r="J96" i="1" s="1"/>
  <c r="E97" i="1"/>
  <c r="E98" i="1"/>
  <c r="J98" i="1" s="1"/>
  <c r="E99" i="1"/>
  <c r="J99" i="1" s="1"/>
  <c r="E100" i="1"/>
  <c r="J100" i="1" s="1"/>
  <c r="E101" i="1"/>
  <c r="J101" i="1" s="1"/>
  <c r="E102" i="1"/>
  <c r="J102" i="1" s="1"/>
  <c r="E103" i="1"/>
  <c r="E104" i="1"/>
  <c r="E105" i="1"/>
  <c r="J105" i="1" s="1"/>
  <c r="E106" i="1"/>
  <c r="J106" i="1" s="1"/>
  <c r="E107" i="1"/>
  <c r="E108" i="1"/>
  <c r="E109" i="1"/>
  <c r="E110" i="1"/>
  <c r="J110" i="1" s="1"/>
  <c r="E95" i="1"/>
  <c r="E86" i="1"/>
  <c r="E85" i="1"/>
  <c r="J85" i="1" s="1"/>
  <c r="E84" i="1"/>
  <c r="J84" i="1" s="1"/>
  <c r="E83" i="1"/>
  <c r="E82" i="1"/>
  <c r="J82" i="1" s="1"/>
  <c r="E81" i="1"/>
  <c r="J81" i="1" s="1"/>
  <c r="E80" i="1"/>
  <c r="J80" i="1" s="1"/>
  <c r="E79" i="1"/>
  <c r="E78" i="1"/>
  <c r="J78" i="1" s="1"/>
  <c r="E77" i="1"/>
  <c r="E76" i="1"/>
  <c r="E73" i="1"/>
  <c r="E72" i="1"/>
  <c r="J72" i="1" s="1"/>
  <c r="E71" i="1"/>
  <c r="J71" i="1" s="1"/>
  <c r="E70" i="1"/>
  <c r="E69" i="1"/>
  <c r="J69" i="1" s="1"/>
  <c r="E68" i="1"/>
  <c r="J68" i="1" s="1"/>
  <c r="E67" i="1"/>
  <c r="J67" i="1" s="1"/>
  <c r="E66" i="1"/>
  <c r="J66" i="1" s="1"/>
  <c r="E65" i="1"/>
  <c r="J65" i="1" s="1"/>
  <c r="E64" i="1"/>
  <c r="J64" i="1" s="1"/>
  <c r="E63" i="1"/>
  <c r="J63" i="1" s="1"/>
  <c r="E62" i="1"/>
  <c r="J62" i="1" s="1"/>
  <c r="E61" i="1"/>
  <c r="J61" i="1" s="1"/>
  <c r="E60" i="1"/>
  <c r="J60" i="1" s="1"/>
  <c r="E59" i="1"/>
  <c r="J59" i="1" s="1"/>
  <c r="E58" i="1"/>
  <c r="J58" i="1" s="1"/>
  <c r="E57" i="1"/>
  <c r="J57" i="1" s="1"/>
  <c r="E56" i="1"/>
  <c r="J56" i="1" s="1"/>
  <c r="E52" i="1"/>
  <c r="J52" i="1" s="1"/>
  <c r="E51" i="1"/>
  <c r="J51" i="1" s="1"/>
  <c r="E50" i="1"/>
  <c r="J50" i="1" s="1"/>
  <c r="E49" i="1"/>
  <c r="E36" i="1"/>
  <c r="J36" i="1" s="1"/>
  <c r="E37" i="1"/>
  <c r="J37" i="1" s="1"/>
  <c r="E38" i="1"/>
  <c r="J38" i="1" s="1"/>
  <c r="E39" i="1"/>
  <c r="J39" i="1" s="1"/>
  <c r="E40" i="1"/>
  <c r="J40" i="1" s="1"/>
  <c r="E41" i="1"/>
  <c r="J41" i="1" s="1"/>
  <c r="E42" i="1"/>
  <c r="J42" i="1" s="1"/>
  <c r="E35" i="1"/>
  <c r="J35" i="1" s="1"/>
  <c r="E22" i="1"/>
  <c r="E18" i="1"/>
  <c r="E17" i="1"/>
  <c r="J17" i="1" s="1"/>
  <c r="E16" i="1"/>
  <c r="J16" i="1" s="1"/>
  <c r="E9" i="1"/>
  <c r="E10" i="1"/>
  <c r="J10" i="1" s="1"/>
  <c r="E11" i="1"/>
  <c r="J11" i="1" s="1"/>
  <c r="E12" i="1"/>
  <c r="J12" i="1" s="1"/>
  <c r="E13" i="1"/>
  <c r="J13" i="1" s="1"/>
  <c r="J90" i="1" l="1"/>
  <c r="J93" i="1" s="1"/>
  <c r="J112" i="1" s="1"/>
  <c r="G93" i="1"/>
  <c r="J97" i="1"/>
  <c r="J107" i="1"/>
  <c r="I55" i="1"/>
  <c r="J31" i="1"/>
  <c r="I30" i="1"/>
  <c r="G53" i="1"/>
  <c r="E23" i="1"/>
  <c r="J22" i="1"/>
  <c r="J23" i="1" s="1"/>
  <c r="I29" i="1"/>
  <c r="I31" i="1"/>
  <c r="J104" i="1"/>
  <c r="I108" i="1"/>
  <c r="I49" i="1"/>
  <c r="I34" i="1"/>
  <c r="I43" i="1" s="1"/>
  <c r="I79" i="1"/>
  <c r="I83" i="1"/>
  <c r="J73" i="1"/>
  <c r="J77" i="1"/>
  <c r="J108" i="1"/>
  <c r="I104" i="1"/>
  <c r="I97" i="1"/>
  <c r="I23" i="1"/>
  <c r="I77" i="1"/>
  <c r="I90" i="1"/>
  <c r="I46" i="1"/>
  <c r="J103" i="1"/>
  <c r="I107" i="1"/>
  <c r="I47" i="1"/>
  <c r="I48" i="1"/>
  <c r="J28" i="1"/>
  <c r="I73" i="1"/>
  <c r="J86" i="1"/>
  <c r="J95" i="1"/>
  <c r="I5" i="1"/>
  <c r="I86" i="1"/>
  <c r="I91" i="1"/>
  <c r="I93" i="1" s="1"/>
  <c r="I112" i="1" s="1"/>
  <c r="I113" i="1" s="1"/>
  <c r="I92" i="1"/>
  <c r="I18" i="1"/>
  <c r="I19" i="1" s="1"/>
  <c r="G19" i="1"/>
  <c r="J70" i="1"/>
  <c r="J34" i="1"/>
  <c r="J43" i="1" s="1"/>
  <c r="J29" i="1"/>
  <c r="J30" i="1"/>
  <c r="J49" i="1"/>
  <c r="J79" i="1"/>
  <c r="J83" i="1"/>
  <c r="J18" i="1"/>
  <c r="J19" i="1" s="1"/>
  <c r="J47" i="1"/>
  <c r="J48" i="1"/>
  <c r="J46" i="1"/>
  <c r="J76" i="1"/>
  <c r="I9" i="1"/>
  <c r="I14" i="1" s="1"/>
  <c r="G43" i="1"/>
  <c r="J9" i="1"/>
  <c r="J14" i="1" s="1"/>
  <c r="F43" i="1"/>
  <c r="E43" i="1"/>
  <c r="F53" i="1"/>
  <c r="F25" i="1"/>
  <c r="E53" i="1"/>
  <c r="E19" i="1"/>
  <c r="G112" i="1" l="1"/>
  <c r="G113" i="1" s="1"/>
  <c r="J25" i="1"/>
  <c r="J113" i="1" s="1"/>
  <c r="I25" i="1"/>
  <c r="G25" i="1"/>
  <c r="H17" i="1" s="1"/>
  <c r="I53" i="1"/>
  <c r="J87" i="1"/>
  <c r="J53" i="1"/>
  <c r="E25" i="1"/>
  <c r="H106" i="1" l="1"/>
  <c r="H49" i="1"/>
  <c r="H90" i="1"/>
  <c r="H86" i="1"/>
  <c r="H9" i="1"/>
  <c r="H85" i="1"/>
  <c r="H42" i="1"/>
  <c r="H8" i="1"/>
  <c r="H22" i="1"/>
  <c r="H31" i="1"/>
  <c r="H76" i="1"/>
  <c r="H98" i="1"/>
  <c r="H5" i="1"/>
  <c r="H108" i="1"/>
  <c r="H73" i="1"/>
  <c r="H39" i="1"/>
  <c r="H30" i="1"/>
  <c r="H78" i="1"/>
  <c r="H40" i="1"/>
  <c r="H13" i="1"/>
  <c r="H52" i="1"/>
  <c r="H50" i="1"/>
  <c r="H56" i="1"/>
  <c r="H77" i="1"/>
  <c r="H41" i="1"/>
  <c r="H18" i="1"/>
  <c r="H19" i="1" s="1"/>
  <c r="H104" i="1"/>
  <c r="H103" i="1"/>
  <c r="H55" i="1"/>
  <c r="H10" i="1"/>
  <c r="H65" i="1"/>
  <c r="H11" i="1"/>
  <c r="H63" i="1"/>
  <c r="H12" i="1"/>
  <c r="H46" i="1"/>
  <c r="H109" i="1"/>
  <c r="H91" i="1"/>
  <c r="H92" i="1"/>
  <c r="H100" i="1"/>
  <c r="H7" i="1"/>
  <c r="H57" i="1"/>
  <c r="H45" i="1"/>
  <c r="H79" i="1"/>
  <c r="H101" i="1"/>
  <c r="H81" i="1"/>
  <c r="H64" i="1"/>
  <c r="H62" i="1"/>
  <c r="H96" i="1"/>
  <c r="H29" i="1"/>
  <c r="H105" i="1"/>
  <c r="H66" i="1"/>
  <c r="H37" i="1"/>
  <c r="H72" i="1"/>
  <c r="H82" i="1"/>
  <c r="H99" i="1"/>
  <c r="H35" i="1"/>
  <c r="H80" i="1"/>
  <c r="H107" i="1"/>
  <c r="H51" i="1"/>
  <c r="H59" i="1"/>
  <c r="H89" i="1"/>
  <c r="H95" i="1"/>
  <c r="H36" i="1"/>
  <c r="H102" i="1"/>
  <c r="H83" i="1"/>
  <c r="H47" i="1"/>
  <c r="H67" i="1"/>
  <c r="H68" i="1"/>
  <c r="H38" i="1"/>
  <c r="H48" i="1"/>
  <c r="H97" i="1"/>
  <c r="H60" i="1"/>
  <c r="H71" i="1"/>
  <c r="H70" i="1"/>
  <c r="H23" i="1"/>
  <c r="H61" i="1"/>
  <c r="H34" i="1"/>
  <c r="H84" i="1"/>
  <c r="H69" i="1"/>
  <c r="H110" i="1"/>
  <c r="H28" i="1"/>
  <c r="H58" i="1"/>
  <c r="H93" i="1" l="1"/>
  <c r="H53" i="1"/>
  <c r="H87" i="1"/>
  <c r="H74" i="1"/>
  <c r="H43" i="1"/>
  <c r="H32" i="1"/>
  <c r="H14" i="1"/>
  <c r="H111" i="1"/>
  <c r="D74" i="1"/>
  <c r="D53" i="1"/>
  <c r="D43" i="1"/>
  <c r="D23" i="1"/>
  <c r="D19" i="1"/>
  <c r="H112" i="1" l="1"/>
  <c r="H113" i="1" s="1"/>
  <c r="D25" i="1"/>
</calcChain>
</file>

<file path=xl/sharedStrings.xml><?xml version="1.0" encoding="utf-8"?>
<sst xmlns="http://schemas.openxmlformats.org/spreadsheetml/2006/main" count="200" uniqueCount="172">
  <si>
    <t>Jul '21 - Apr 22</t>
  </si>
  <si>
    <t>4000 · Gross Sales of Homes</t>
  </si>
  <si>
    <t>4005 · Donations</t>
  </si>
  <si>
    <t>4010 · Individual Donations</t>
  </si>
  <si>
    <t>4100 · Church Donations</t>
  </si>
  <si>
    <t>4200 · Corporation Donations</t>
  </si>
  <si>
    <t>4300 · Foundation/Grant Donations</t>
  </si>
  <si>
    <t>4400 · Government Grants</t>
  </si>
  <si>
    <t>4450 · Gifts in Kind Donations</t>
  </si>
  <si>
    <t>4800 · Special Event Donations</t>
  </si>
  <si>
    <t>Total 4005 · Donations</t>
  </si>
  <si>
    <t>4900 · Other Income</t>
  </si>
  <si>
    <t>4902 · Cash Purhcase Discounts</t>
  </si>
  <si>
    <t>4900 · Other Income - Other</t>
  </si>
  <si>
    <t>Total 4900 · Other Income</t>
  </si>
  <si>
    <t>4990 · ReStore Sales</t>
  </si>
  <si>
    <t>4991 · ReStore-Cash Donations</t>
  </si>
  <si>
    <t>4990 · ReStore Sales - Other</t>
  </si>
  <si>
    <t>Total 4990 · ReStore Sales</t>
  </si>
  <si>
    <t>5000 · Program Payroll &amp; Benefits</t>
  </si>
  <si>
    <t>5002 · Program Salaries and wages</t>
  </si>
  <si>
    <t>5020 · Program Payroll Taxes</t>
  </si>
  <si>
    <t>5040 · Program-IRA Matching</t>
  </si>
  <si>
    <t>5043 · Program-Insurance</t>
  </si>
  <si>
    <t>Total 5000 · Program Payroll &amp; Benefits</t>
  </si>
  <si>
    <t>5199 · Program-Cost of Homes</t>
  </si>
  <si>
    <t>5200 · Const-Direct Cost of Homes</t>
  </si>
  <si>
    <t>5210 · Warranty Repairs</t>
  </si>
  <si>
    <t>5215 · Closing Costs</t>
  </si>
  <si>
    <t>5510 · Hospitality</t>
  </si>
  <si>
    <t>5560 · Equip Maint &amp; Repair</t>
  </si>
  <si>
    <t>5655 · Supplies</t>
  </si>
  <si>
    <t>5665 · Sales Tax Paid</t>
  </si>
  <si>
    <t>5680 · Vehicle Expenses</t>
  </si>
  <si>
    <t>5695 · Workers Comp-Non Employee</t>
  </si>
  <si>
    <t>Total 5199 · Program-Cost of Homes</t>
  </si>
  <si>
    <t>5300 · Habitat Repairs</t>
  </si>
  <si>
    <t>5302 · Salaries and Wages</t>
  </si>
  <si>
    <t>5320 · Payroll Taxes</t>
  </si>
  <si>
    <t>5330 · IRA Matching</t>
  </si>
  <si>
    <t>5343 · Insurance</t>
  </si>
  <si>
    <t>5354 · Project expenses</t>
  </si>
  <si>
    <t>5355 · Supplies</t>
  </si>
  <si>
    <t>5380 · Vehicle expense</t>
  </si>
  <si>
    <t>5390 · interest</t>
  </si>
  <si>
    <t>Total 5300 · Habitat Repairs</t>
  </si>
  <si>
    <t>5500 · General and Administrative</t>
  </si>
  <si>
    <t>5525 · Tithe Program</t>
  </si>
  <si>
    <t>5540 · Dues &amp; Fees</t>
  </si>
  <si>
    <t>5550 · Computer Supp &amp; Equip</t>
  </si>
  <si>
    <t>5562 · Site-Taxes &amp; other</t>
  </si>
  <si>
    <t>5565 · Equip Rentals</t>
  </si>
  <si>
    <t>5583 · Insurance-General</t>
  </si>
  <si>
    <t>5590 · Interest</t>
  </si>
  <si>
    <t>5595 · Building Maint &amp; Repair</t>
  </si>
  <si>
    <t>5601 · Travel Expense</t>
  </si>
  <si>
    <t>5602 · Brand fee</t>
  </si>
  <si>
    <t>5603 · Training expenses</t>
  </si>
  <si>
    <t>5610 · Other Expenses</t>
  </si>
  <si>
    <t>5630 · Mortgage Servicing Expense</t>
  </si>
  <si>
    <t>5635 · Postage/Freight</t>
  </si>
  <si>
    <t>5645 · Professional Fees</t>
  </si>
  <si>
    <t>5660 · Office Supplies</t>
  </si>
  <si>
    <t>5685 · Utilities</t>
  </si>
  <si>
    <t>6500 · Family Services</t>
  </si>
  <si>
    <t>Total 5500 · General and Administrative</t>
  </si>
  <si>
    <t>7000 · Development</t>
  </si>
  <si>
    <t>7510 · Dev-Hospitality</t>
  </si>
  <si>
    <t>7520 · Dev-Trng/Prof Dev</t>
  </si>
  <si>
    <t>7540 · Dev-Fees &amp; Memberships</t>
  </si>
  <si>
    <t>7570 · Dev-Event Costs</t>
  </si>
  <si>
    <t>7575 · Dev- Software expenses</t>
  </si>
  <si>
    <t>7600 · Dev-Mileage Reimbursement</t>
  </si>
  <si>
    <t>7635 · Dev-Postage</t>
  </si>
  <si>
    <t>7640 · Dev-Marketing &amp; Media</t>
  </si>
  <si>
    <t>7660 · Dev-Office Supplies</t>
  </si>
  <si>
    <t>7680 · Dev-Bad Debt Expense</t>
  </si>
  <si>
    <t>7890 · Dev- Consulting</t>
  </si>
  <si>
    <t>Total 7000 · Development</t>
  </si>
  <si>
    <t>9000 · ReStore Payroll Expense</t>
  </si>
  <si>
    <t>9002 · ReStore-Salaries and wages</t>
  </si>
  <si>
    <t>9020 · ReStore-Payroll Taxes</t>
  </si>
  <si>
    <t>9040 · ReStore-IRA Matching</t>
  </si>
  <si>
    <t>9043 · ReStore-Insurance Benefits</t>
  </si>
  <si>
    <t>Total 9000 · ReStore Payroll Expense</t>
  </si>
  <si>
    <t>9200 · ReStore Operating Expenses</t>
  </si>
  <si>
    <t>9301 · Restore workshop supplies</t>
  </si>
  <si>
    <t>9504 · ReStore-Rent</t>
  </si>
  <si>
    <t>9505 · ReStore-Bank Charges &amp; Fees</t>
  </si>
  <si>
    <t>9560 · ReStore- General Maintenance</t>
  </si>
  <si>
    <t>9583 · ReStore-Insurance-General</t>
  </si>
  <si>
    <t>9588 · ReStore-Interest Expense</t>
  </si>
  <si>
    <t>9590 · ReStore other purchases</t>
  </si>
  <si>
    <t>9603 · ReStore-Training</t>
  </si>
  <si>
    <t>9610 · ReStore-Other Expense</t>
  </si>
  <si>
    <t>9625 · ReStore-Advertising</t>
  </si>
  <si>
    <t>9645 · ReStore-Professional Fees</t>
  </si>
  <si>
    <t>9660 · ReStore-Office &amp; Tool Supplies</t>
  </si>
  <si>
    <t>9666 · ReStore-Sales Tax Collected</t>
  </si>
  <si>
    <t>9680 · ReStore-Vehicle Expense</t>
  </si>
  <si>
    <t>9685 · ReStore-Utilities</t>
  </si>
  <si>
    <t>9690 · ReStore-Volunteer Hospitality</t>
  </si>
  <si>
    <t>Total 9200 · ReStore Operating Expenses</t>
  </si>
  <si>
    <t>Net Income</t>
  </si>
  <si>
    <t>2021-2022 Budget</t>
  </si>
  <si>
    <t>Habitat for Humanity of Catawba Valley, Inc</t>
  </si>
  <si>
    <t>2022-2023 Budget</t>
  </si>
  <si>
    <t>Increase (Decrease) over prior Budget</t>
  </si>
  <si>
    <t>Increase (Decrease) over projected</t>
  </si>
  <si>
    <t>Projected Profit and loss based on April</t>
  </si>
  <si>
    <t>Capital improvements</t>
  </si>
  <si>
    <t>Replace 2 HVAC Units</t>
  </si>
  <si>
    <t>Computer upgraded</t>
  </si>
  <si>
    <t>Landscap improvement</t>
  </si>
  <si>
    <t>Dock Repairs &amp; Upgrades</t>
  </si>
  <si>
    <t>Shelving store merchandise</t>
  </si>
  <si>
    <t>Total ReStore Capital Improvements</t>
  </si>
  <si>
    <t>5504 · Rent Expense</t>
  </si>
  <si>
    <t>New Repair Van</t>
  </si>
  <si>
    <t>New Construction Van</t>
  </si>
  <si>
    <t>Total improvements</t>
  </si>
  <si>
    <t>Interest Income &amp; Dividend income</t>
  </si>
  <si>
    <t>Percent of budget</t>
  </si>
  <si>
    <t>a</t>
  </si>
  <si>
    <t>4000 · Gross Sales of Homes - ten total - 7 habitat and 3 market houses and includes Duke Energy Hero grant money of $60,000</t>
  </si>
  <si>
    <t>b</t>
  </si>
  <si>
    <t>c</t>
  </si>
  <si>
    <t>4005 · Donations - Improved fundraising efforts including special event and increased media marketing</t>
  </si>
  <si>
    <t>4200 · Corporation Donations - additional funding from PNG of $40,000</t>
  </si>
  <si>
    <t>d</t>
  </si>
  <si>
    <t>e</t>
  </si>
  <si>
    <t>4900 · Other Income  - Gain from the sale of the current office buildings. Proceeds of $375,000 less net book value</t>
  </si>
  <si>
    <t>4990 · ReStore Sales - Budgeted monthly income of $95,000</t>
  </si>
  <si>
    <t>f</t>
  </si>
  <si>
    <t>Income Items</t>
  </si>
  <si>
    <t>Expense Items</t>
  </si>
  <si>
    <t>5002, 5302 9002 · Salaries and wages - includes additional positions including development director, media specialist, 2 full time repair, 2 construction,  2 full ReStore employees,  office administrator</t>
  </si>
  <si>
    <t>g</t>
  </si>
  <si>
    <t>5200 · Const-Direct Cost of Homes - 10 homes at $140,000</t>
  </si>
  <si>
    <t>h</t>
  </si>
  <si>
    <t xml:space="preserve">5215 · Closing Costs - cost of selling homes </t>
  </si>
  <si>
    <t>i</t>
  </si>
  <si>
    <t>5354 · Project expenses - Increase in repair projects estimated 50 repairs at $5,500 per repair</t>
  </si>
  <si>
    <t>j</t>
  </si>
  <si>
    <t>k</t>
  </si>
  <si>
    <t>l</t>
  </si>
  <si>
    <t>m</t>
  </si>
  <si>
    <t>n</t>
  </si>
  <si>
    <t>u</t>
  </si>
  <si>
    <t>r</t>
  </si>
  <si>
    <t>t</t>
  </si>
  <si>
    <t>o</t>
  </si>
  <si>
    <t>p</t>
  </si>
  <si>
    <t>q</t>
  </si>
  <si>
    <t>s</t>
  </si>
  <si>
    <t>v</t>
  </si>
  <si>
    <t>w</t>
  </si>
  <si>
    <t>5390 · interest - increase with purchase of new construction vehicle</t>
  </si>
  <si>
    <t>5504 · Rent Expense - warehouse rent $1,500 starting in January</t>
  </si>
  <si>
    <t>5540 · Dues &amp; Fees - reduction of interest to Catawba Valley Building supply</t>
  </si>
  <si>
    <t>5550 · Computer Supp &amp; Equip - increase due to increase in employees</t>
  </si>
  <si>
    <t>5590 · Interest - increase related to new administrative office building</t>
  </si>
  <si>
    <t>5645 · Professional Fees - includes $5,000 relating to fees for strategic plan</t>
  </si>
  <si>
    <t>7520 · Development -Training/Professional Development</t>
  </si>
  <si>
    <t xml:space="preserve">7640 · Dev-Marketing &amp; Media - increase in media relating to additional video production </t>
  </si>
  <si>
    <t>7890 · Dev- Consulting - Grant writing expense</t>
  </si>
  <si>
    <t>5680, 5380,9680 · Vehicle expense - increase related to fuel, maintenance and additional vehicle purchase</t>
  </si>
  <si>
    <t>9560 · ReStore- General Maintenance - interior maintenance and updates</t>
  </si>
  <si>
    <t>9590 · ReStore other purchases - $50,000 to purchase furniture to improve staging estimated sales $100,000</t>
  </si>
  <si>
    <t>9603 · ReStore-Training - HFHNC Conference and ReStore University</t>
  </si>
  <si>
    <t>9610 · ReStore-Other Expense - contract labor to fill gap of full time employee</t>
  </si>
  <si>
    <t xml:space="preserve">Land purchase allocation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</si>
</sst>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0;\-#,##0.00"/>
    <numFmt numFmtId="165" formatCode="#,##0;\-#,##0"/>
    <numFmt numFmtId="166" formatCode="0.0%"/>
    <numFmt numFmtId="167" formatCode="#,##0.000_);\(#,##0.000\)"/>
    <numFmt numFmtId="168" formatCode="#,##0.00000_);\(#,##0.00000\)"/>
  </numFmts>
  <fonts count="11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Arial"/>
      <family val="2"/>
    </font>
    <font>
      <b/>
      <sz val="11"/>
      <color theme="9" tint="-0.249977111117893"/>
      <name val="Calibri"/>
      <family val="2"/>
      <scheme val="minor"/>
    </font>
    <font>
      <b/>
      <sz val="8"/>
      <color theme="9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9">
    <xf numFmtId="0" fontId="0" fillId="0" borderId="0" xfId="0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1" xfId="0" applyNumberFormat="1" applyFont="1" applyBorder="1" applyAlignment="1">
      <alignment horizontal="center" wrapText="1"/>
    </xf>
    <xf numFmtId="165" fontId="2" fillId="0" borderId="0" xfId="0" applyNumberFormat="1" applyFont="1"/>
    <xf numFmtId="165" fontId="2" fillId="0" borderId="2" xfId="0" applyNumberFormat="1" applyFont="1" applyBorder="1"/>
    <xf numFmtId="165" fontId="2" fillId="0" borderId="3" xfId="0" applyNumberFormat="1" applyFont="1" applyBorder="1"/>
    <xf numFmtId="165" fontId="2" fillId="0" borderId="4" xfId="0" applyNumberFormat="1" applyFont="1" applyBorder="1"/>
    <xf numFmtId="49" fontId="1" fillId="0" borderId="1" xfId="0" applyNumberFormat="1" applyFont="1" applyBorder="1" applyAlignment="1">
      <alignment horizontal="center"/>
    </xf>
    <xf numFmtId="165" fontId="2" fillId="0" borderId="0" xfId="0" applyNumberFormat="1" applyFont="1" applyFill="1"/>
    <xf numFmtId="9" fontId="0" fillId="0" borderId="0" xfId="0" applyNumberFormat="1"/>
    <xf numFmtId="0" fontId="5" fillId="0" borderId="0" xfId="0" applyFont="1"/>
    <xf numFmtId="9" fontId="2" fillId="0" borderId="0" xfId="2" applyFont="1" applyAlignment="1">
      <alignment horizontal="left"/>
    </xf>
    <xf numFmtId="9" fontId="0" fillId="0" borderId="0" xfId="0" applyNumberFormat="1" applyAlignment="1">
      <alignment horizontal="left"/>
    </xf>
    <xf numFmtId="164" fontId="2" fillId="0" borderId="6" xfId="0" applyNumberFormat="1" applyFont="1" applyBorder="1"/>
    <xf numFmtId="165" fontId="2" fillId="0" borderId="0" xfId="0" applyNumberFormat="1" applyFont="1" applyFill="1" applyBorder="1"/>
    <xf numFmtId="165" fontId="2" fillId="0" borderId="2" xfId="0" applyNumberFormat="1" applyFont="1" applyFill="1" applyBorder="1"/>
    <xf numFmtId="164" fontId="0" fillId="0" borderId="0" xfId="0" applyNumberFormat="1"/>
    <xf numFmtId="43" fontId="0" fillId="0" borderId="0" xfId="3" applyFont="1"/>
    <xf numFmtId="9" fontId="2" fillId="0" borderId="4" xfId="2" applyFont="1" applyBorder="1"/>
    <xf numFmtId="166" fontId="2" fillId="0" borderId="0" xfId="2" applyNumberFormat="1" applyFont="1" applyFill="1" applyBorder="1"/>
    <xf numFmtId="166" fontId="2" fillId="0" borderId="2" xfId="2" applyNumberFormat="1" applyFont="1" applyBorder="1"/>
    <xf numFmtId="166" fontId="2" fillId="0" borderId="0" xfId="2" applyNumberFormat="1" applyFont="1"/>
    <xf numFmtId="166" fontId="2" fillId="0" borderId="4" xfId="2" applyNumberFormat="1" applyFont="1" applyBorder="1"/>
    <xf numFmtId="166" fontId="1" fillId="0" borderId="5" xfId="2" applyNumberFormat="1" applyFont="1" applyBorder="1"/>
    <xf numFmtId="166" fontId="2" fillId="0" borderId="3" xfId="2" applyNumberFormat="1" applyFont="1" applyBorder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8" fillId="0" borderId="0" xfId="0" applyNumberFormat="1" applyFont="1"/>
    <xf numFmtId="0" fontId="9" fillId="0" borderId="0" xfId="0" applyFont="1"/>
    <xf numFmtId="0" fontId="10" fillId="0" borderId="0" xfId="0" applyNumberFormat="1" applyFont="1"/>
    <xf numFmtId="0" fontId="1" fillId="0" borderId="6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left" vertical="center"/>
    </xf>
    <xf numFmtId="39" fontId="0" fillId="0" borderId="0" xfId="0" applyNumberFormat="1"/>
    <xf numFmtId="167" fontId="0" fillId="0" borderId="0" xfId="0" applyNumberFormat="1"/>
    <xf numFmtId="168" fontId="0" fillId="0" borderId="0" xfId="0" applyNumberFormat="1"/>
    <xf numFmtId="49" fontId="1" fillId="0" borderId="0" xfId="0" applyNumberFormat="1" applyFont="1" applyAlignment="1">
      <alignment horizontal="left" vertical="top" wrapText="1"/>
    </xf>
  </cellXfs>
  <cellStyles count="4">
    <cellStyle name="Comma" xfId="3" builtinId="3"/>
    <cellStyle name="Normal" xfId="0" builtinId="0"/>
    <cellStyle name="Normal 2" xfId="1" xr:uid="{E371421E-6228-4D34-8097-676E2A3F26AD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2</xdr:col>
          <xdr:colOff>501650</xdr:colOff>
          <xdr:row>2</xdr:row>
          <xdr:rowOff>44450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2</xdr:col>
          <xdr:colOff>501650</xdr:colOff>
          <xdr:row>2</xdr:row>
          <xdr:rowOff>44450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31732-5E39-42BF-B7C4-6F736FB23347}">
  <sheetPr codeName="Sheet1"/>
  <dimension ref="A1:P156"/>
  <sheetViews>
    <sheetView tabSelected="1" zoomScale="120" zoomScaleNormal="120" workbookViewId="0">
      <pane xSplit="3" ySplit="3" topLeftCell="D4" activePane="bottomRight" state="frozenSplit"/>
      <selection pane="topRight" activeCell="F1" sqref="F1"/>
      <selection pane="bottomLeft" activeCell="A3" sqref="A3"/>
      <selection pane="bottomRight" activeCell="I5" sqref="I5"/>
    </sheetView>
  </sheetViews>
  <sheetFormatPr defaultRowHeight="14.75" x14ac:dyDescent="0.75"/>
  <cols>
    <col min="1" max="2" width="3" style="12" customWidth="1"/>
    <col min="3" max="3" width="31.08984375" style="12" customWidth="1"/>
    <col min="4" max="4" width="12.31640625" style="13" bestFit="1" customWidth="1"/>
    <col min="5" max="5" width="15" style="13" customWidth="1"/>
    <col min="6" max="6" width="10" customWidth="1"/>
    <col min="7" max="8" width="10.54296875" bestFit="1" customWidth="1"/>
    <col min="9" max="10" width="11" customWidth="1"/>
    <col min="11" max="11" width="2.86328125" style="37" customWidth="1"/>
    <col min="12" max="12" width="16.86328125" bestFit="1" customWidth="1"/>
    <col min="16" max="16" width="11.08984375" bestFit="1" customWidth="1"/>
  </cols>
  <sheetData>
    <row r="1" spans="1:16" x14ac:dyDescent="0.75">
      <c r="C1" s="9" t="s">
        <v>105</v>
      </c>
    </row>
    <row r="2" spans="1:16" x14ac:dyDescent="0.75">
      <c r="A2" s="1"/>
      <c r="B2" s="1"/>
      <c r="C2" s="9" t="s">
        <v>106</v>
      </c>
      <c r="D2" s="2"/>
      <c r="E2" s="2"/>
    </row>
    <row r="3" spans="1:16" s="11" customFormat="1" ht="44" thickBot="1" x14ac:dyDescent="0.9">
      <c r="A3" s="10"/>
      <c r="B3" s="10"/>
      <c r="C3" s="10"/>
      <c r="D3" s="19" t="s">
        <v>0</v>
      </c>
      <c r="E3" s="14" t="s">
        <v>109</v>
      </c>
      <c r="F3" s="14" t="s">
        <v>104</v>
      </c>
      <c r="G3" s="14" t="s">
        <v>106</v>
      </c>
      <c r="H3" s="14" t="s">
        <v>122</v>
      </c>
      <c r="I3" s="14" t="s">
        <v>107</v>
      </c>
      <c r="J3" s="14" t="s">
        <v>108</v>
      </c>
      <c r="K3" s="39"/>
    </row>
    <row r="4" spans="1:16" ht="15.5" thickTop="1" x14ac:dyDescent="0.75">
      <c r="A4" s="1"/>
      <c r="B4" s="1"/>
      <c r="C4" s="1"/>
      <c r="D4" s="3"/>
      <c r="E4" s="3"/>
      <c r="F4" s="3"/>
      <c r="G4" s="3"/>
      <c r="H4" s="3"/>
      <c r="I4" s="3"/>
      <c r="J4" s="3"/>
    </row>
    <row r="5" spans="1:16" x14ac:dyDescent="0.75">
      <c r="A5" s="1"/>
      <c r="B5" s="1" t="s">
        <v>1</v>
      </c>
      <c r="C5" s="1"/>
      <c r="D5" s="3">
        <v>339034</v>
      </c>
      <c r="E5" s="3">
        <f>+D5+195000+195000</f>
        <v>729034</v>
      </c>
      <c r="F5" s="15">
        <f>(3*190000)+(4*140000)</f>
        <v>1130000</v>
      </c>
      <c r="G5" s="15">
        <f>(3*220000)+(7*154000)+(10*6000)</f>
        <v>1798000</v>
      </c>
      <c r="H5" s="33">
        <f>+G5/$G$25</f>
        <v>0.38687466379774071</v>
      </c>
      <c r="I5" s="3">
        <f>+G5-F5</f>
        <v>668000</v>
      </c>
      <c r="J5" s="3">
        <f>+G5-E5</f>
        <v>1068966</v>
      </c>
      <c r="K5" s="41" t="s">
        <v>123</v>
      </c>
      <c r="L5" s="45"/>
    </row>
    <row r="6" spans="1:16" x14ac:dyDescent="0.75">
      <c r="A6" s="1"/>
      <c r="B6" s="1" t="s">
        <v>2</v>
      </c>
      <c r="C6" s="1"/>
      <c r="D6" s="3"/>
      <c r="E6" s="3"/>
      <c r="F6" s="15"/>
      <c r="G6" s="15"/>
      <c r="H6" s="15"/>
      <c r="I6" s="3"/>
      <c r="J6" s="3"/>
      <c r="K6" s="41"/>
    </row>
    <row r="7" spans="1:16" x14ac:dyDescent="0.75">
      <c r="A7" s="1"/>
      <c r="B7" s="1"/>
      <c r="C7" s="1" t="s">
        <v>3</v>
      </c>
      <c r="D7" s="3">
        <v>2977151.83</v>
      </c>
      <c r="E7" s="3">
        <f>((+D7-2500000)/10)*12</f>
        <v>572582.196</v>
      </c>
      <c r="F7" s="15">
        <v>365000</v>
      </c>
      <c r="G7" s="15">
        <v>660000</v>
      </c>
      <c r="H7" s="33">
        <f t="shared" ref="H7:H13" si="0">+G7/$G$25</f>
        <v>0.14201183431952663</v>
      </c>
      <c r="I7" s="3">
        <f>+G7-F7</f>
        <v>295000</v>
      </c>
      <c r="J7" s="3">
        <f>+G7-E7</f>
        <v>87417.804000000004</v>
      </c>
      <c r="K7" s="41"/>
    </row>
    <row r="8" spans="1:16" x14ac:dyDescent="0.75">
      <c r="A8" s="1"/>
      <c r="B8" s="1"/>
      <c r="C8" s="1" t="s">
        <v>4</v>
      </c>
      <c r="D8" s="3">
        <v>60284</v>
      </c>
      <c r="E8" s="3">
        <f>+D8/10*12</f>
        <v>72340.799999999988</v>
      </c>
      <c r="F8" s="15">
        <v>50000</v>
      </c>
      <c r="G8" s="15">
        <v>100000</v>
      </c>
      <c r="H8" s="33">
        <f t="shared" si="0"/>
        <v>2.151694459386767E-2</v>
      </c>
      <c r="I8" s="3">
        <f t="shared" ref="I8:I11" si="1">+G8-F8</f>
        <v>50000</v>
      </c>
      <c r="J8" s="3">
        <f t="shared" ref="J8:J11" si="2">+G8-E8</f>
        <v>27659.200000000012</v>
      </c>
      <c r="K8" s="41"/>
    </row>
    <row r="9" spans="1:16" x14ac:dyDescent="0.75">
      <c r="A9" s="1"/>
      <c r="B9" s="1"/>
      <c r="C9" s="1" t="s">
        <v>5</v>
      </c>
      <c r="D9" s="3">
        <v>102861.5</v>
      </c>
      <c r="E9" s="3">
        <f t="shared" ref="E9:E13" si="3">+D9/10*12</f>
        <v>123433.79999999999</v>
      </c>
      <c r="F9" s="15">
        <f>75000+25000</f>
        <v>100000</v>
      </c>
      <c r="G9" s="15">
        <f>155000+40000</f>
        <v>195000</v>
      </c>
      <c r="H9" s="33">
        <f t="shared" si="0"/>
        <v>4.195804195804196E-2</v>
      </c>
      <c r="I9" s="3">
        <f t="shared" si="1"/>
        <v>95000</v>
      </c>
      <c r="J9" s="3">
        <f t="shared" si="2"/>
        <v>71566.200000000012</v>
      </c>
      <c r="K9" s="41" t="s">
        <v>126</v>
      </c>
    </row>
    <row r="10" spans="1:16" x14ac:dyDescent="0.75">
      <c r="A10" s="1"/>
      <c r="B10" s="1"/>
      <c r="C10" s="1" t="s">
        <v>6</v>
      </c>
      <c r="D10" s="3">
        <v>257535.21</v>
      </c>
      <c r="E10" s="3">
        <f t="shared" si="3"/>
        <v>309042.25199999998</v>
      </c>
      <c r="F10" s="15">
        <v>350000</v>
      </c>
      <c r="G10" s="15">
        <v>450000</v>
      </c>
      <c r="H10" s="33">
        <f t="shared" si="0"/>
        <v>9.6826250672404524E-2</v>
      </c>
      <c r="I10" s="3">
        <f t="shared" si="1"/>
        <v>100000</v>
      </c>
      <c r="J10" s="3">
        <f t="shared" si="2"/>
        <v>140957.74800000002</v>
      </c>
      <c r="K10" s="41"/>
    </row>
    <row r="11" spans="1:16" x14ac:dyDescent="0.75">
      <c r="A11" s="1"/>
      <c r="B11" s="1"/>
      <c r="C11" s="1" t="s">
        <v>7</v>
      </c>
      <c r="D11" s="3">
        <v>0</v>
      </c>
      <c r="E11" s="3">
        <f t="shared" si="3"/>
        <v>0</v>
      </c>
      <c r="F11" s="15">
        <v>45000</v>
      </c>
      <c r="G11" s="15">
        <v>45000</v>
      </c>
      <c r="H11" s="33">
        <f t="shared" si="0"/>
        <v>9.6826250672404513E-3</v>
      </c>
      <c r="I11" s="3">
        <f t="shared" si="1"/>
        <v>0</v>
      </c>
      <c r="J11" s="3">
        <f t="shared" si="2"/>
        <v>45000</v>
      </c>
      <c r="K11" s="41"/>
      <c r="P11" s="29"/>
    </row>
    <row r="12" spans="1:16" x14ac:dyDescent="0.75">
      <c r="A12" s="1"/>
      <c r="B12" s="1"/>
      <c r="C12" s="1" t="s">
        <v>8</v>
      </c>
      <c r="D12" s="3">
        <v>94254.26</v>
      </c>
      <c r="E12" s="3">
        <f t="shared" si="3"/>
        <v>113105.11199999999</v>
      </c>
      <c r="F12" s="15">
        <v>50000</v>
      </c>
      <c r="G12" s="15">
        <v>50000</v>
      </c>
      <c r="H12" s="33">
        <f t="shared" si="0"/>
        <v>1.0758472296933835E-2</v>
      </c>
      <c r="I12" s="3">
        <f>+G12-F12</f>
        <v>0</v>
      </c>
      <c r="J12" s="3">
        <f>+G12-E12</f>
        <v>-63105.111999999994</v>
      </c>
      <c r="K12" s="41"/>
    </row>
    <row r="13" spans="1:16" ht="15.5" thickBot="1" x14ac:dyDescent="0.9">
      <c r="A13" s="1"/>
      <c r="B13" s="1"/>
      <c r="C13" s="1" t="s">
        <v>9</v>
      </c>
      <c r="D13" s="4">
        <v>0</v>
      </c>
      <c r="E13" s="4">
        <f t="shared" si="3"/>
        <v>0</v>
      </c>
      <c r="F13" s="16">
        <v>0</v>
      </c>
      <c r="G13" s="16">
        <v>0</v>
      </c>
      <c r="H13" s="32">
        <f t="shared" si="0"/>
        <v>0</v>
      </c>
      <c r="I13" s="4">
        <f>+G13-F13</f>
        <v>0</v>
      </c>
      <c r="J13" s="4">
        <f>+G13-E13</f>
        <v>0</v>
      </c>
      <c r="K13" s="41"/>
    </row>
    <row r="14" spans="1:16" x14ac:dyDescent="0.75">
      <c r="A14" s="1"/>
      <c r="B14" s="1" t="s">
        <v>10</v>
      </c>
      <c r="C14" s="1"/>
      <c r="D14" s="3">
        <f>ROUND(SUM(D6:D13),5)</f>
        <v>3492086.8</v>
      </c>
      <c r="E14" s="3">
        <f>SUM(E7:E13)</f>
        <v>1190504.1599999999</v>
      </c>
      <c r="F14" s="15">
        <f>ROUND(SUM(F6:F13),5)</f>
        <v>960000</v>
      </c>
      <c r="G14" s="15">
        <f>ROUND(SUM(G6:G13),5)</f>
        <v>1500000</v>
      </c>
      <c r="H14" s="33">
        <f>SUM(H7:H13)</f>
        <v>0.32275416890801506</v>
      </c>
      <c r="I14" s="3">
        <f>SUM(I7:I13)</f>
        <v>540000</v>
      </c>
      <c r="J14" s="3">
        <f>SUM(J7:J13)</f>
        <v>309495.84000000008</v>
      </c>
      <c r="K14" s="41" t="s">
        <v>125</v>
      </c>
      <c r="L14" s="45"/>
    </row>
    <row r="15" spans="1:16" x14ac:dyDescent="0.75">
      <c r="A15" s="1"/>
      <c r="B15" s="1" t="s">
        <v>11</v>
      </c>
      <c r="C15" s="1"/>
      <c r="D15" s="3"/>
      <c r="E15" s="3"/>
      <c r="F15" s="15"/>
      <c r="G15" s="15"/>
      <c r="H15" s="15"/>
      <c r="I15" s="3"/>
      <c r="J15" s="3"/>
      <c r="K15" s="41"/>
    </row>
    <row r="16" spans="1:16" x14ac:dyDescent="0.75">
      <c r="A16" s="1"/>
      <c r="B16" s="1"/>
      <c r="C16" s="1" t="s">
        <v>12</v>
      </c>
      <c r="D16" s="3">
        <v>1243.08</v>
      </c>
      <c r="E16" s="3">
        <f t="shared" ref="E16:E18" si="4">+D16/10*12</f>
        <v>1491.6959999999999</v>
      </c>
      <c r="F16" s="15">
        <v>0</v>
      </c>
      <c r="G16" s="15">
        <v>0</v>
      </c>
      <c r="H16" s="15"/>
      <c r="I16" s="3">
        <f t="shared" ref="I16:I18" si="5">+G16-F16</f>
        <v>0</v>
      </c>
      <c r="J16" s="3">
        <f t="shared" ref="J16:J18" si="6">+G16-E16</f>
        <v>-1491.6959999999999</v>
      </c>
      <c r="K16" s="41"/>
    </row>
    <row r="17" spans="1:12" x14ac:dyDescent="0.75">
      <c r="A17" s="1"/>
      <c r="B17" s="1"/>
      <c r="C17" s="1" t="s">
        <v>121</v>
      </c>
      <c r="D17" s="3">
        <v>0.49</v>
      </c>
      <c r="E17" s="3">
        <f t="shared" si="4"/>
        <v>0.58800000000000008</v>
      </c>
      <c r="F17" s="15">
        <v>0</v>
      </c>
      <c r="G17" s="15">
        <v>35000</v>
      </c>
      <c r="H17" s="33">
        <f>+G17/G25</f>
        <v>7.5309306078536848E-3</v>
      </c>
      <c r="I17" s="3">
        <f t="shared" si="5"/>
        <v>35000</v>
      </c>
      <c r="J17" s="3">
        <f t="shared" si="6"/>
        <v>34999.411999999997</v>
      </c>
      <c r="K17" s="41"/>
    </row>
    <row r="18" spans="1:12" ht="15.5" thickBot="1" x14ac:dyDescent="0.9">
      <c r="A18" s="1"/>
      <c r="B18" s="1"/>
      <c r="C18" s="1" t="s">
        <v>13</v>
      </c>
      <c r="D18" s="4">
        <v>113334.36</v>
      </c>
      <c r="E18" s="4">
        <f t="shared" si="4"/>
        <v>136001.23199999999</v>
      </c>
      <c r="F18" s="16">
        <f>1200*4+87000</f>
        <v>91800</v>
      </c>
      <c r="G18" s="16">
        <f>12000+380000-217500</f>
        <v>174500</v>
      </c>
      <c r="H18" s="32">
        <f>+G18/G25</f>
        <v>3.7547068316299087E-2</v>
      </c>
      <c r="I18" s="4">
        <f t="shared" si="5"/>
        <v>82700</v>
      </c>
      <c r="J18" s="4">
        <f t="shared" si="6"/>
        <v>38498.768000000011</v>
      </c>
      <c r="K18" s="41" t="s">
        <v>129</v>
      </c>
    </row>
    <row r="19" spans="1:12" x14ac:dyDescent="0.75">
      <c r="A19" s="1"/>
      <c r="B19" s="1" t="s">
        <v>14</v>
      </c>
      <c r="C19" s="1"/>
      <c r="D19" s="3">
        <f>ROUND(SUM(D15:D18),5)</f>
        <v>114577.93</v>
      </c>
      <c r="E19" s="3">
        <f>SUM(E16:E18)</f>
        <v>137493.516</v>
      </c>
      <c r="F19" s="15">
        <f>ROUND(SUM(F15:F18),5)</f>
        <v>91800</v>
      </c>
      <c r="G19" s="15">
        <f>ROUND(SUM(G15:G18),5)</f>
        <v>209500</v>
      </c>
      <c r="H19" s="33">
        <f>SUM(H17:H18)</f>
        <v>4.5077998924152769E-2</v>
      </c>
      <c r="I19" s="3">
        <f>SUM(I16:I18)</f>
        <v>117700</v>
      </c>
      <c r="J19" s="3">
        <f>SUM(J16:J18)</f>
        <v>72006.484000000011</v>
      </c>
      <c r="K19" s="41"/>
    </row>
    <row r="20" spans="1:12" x14ac:dyDescent="0.75">
      <c r="A20" s="1"/>
      <c r="B20" s="1" t="s">
        <v>15</v>
      </c>
      <c r="C20" s="1"/>
      <c r="D20" s="3"/>
      <c r="E20" s="3"/>
      <c r="F20" s="15"/>
      <c r="G20" s="15"/>
      <c r="H20" s="15"/>
      <c r="I20" s="3"/>
      <c r="J20" s="3"/>
      <c r="K20" s="41"/>
    </row>
    <row r="21" spans="1:12" x14ac:dyDescent="0.75">
      <c r="A21" s="1"/>
      <c r="B21" s="1"/>
      <c r="C21" s="1" t="s">
        <v>16</v>
      </c>
      <c r="D21" s="3">
        <v>0</v>
      </c>
      <c r="E21" s="3"/>
      <c r="F21" s="15">
        <v>0</v>
      </c>
      <c r="G21" s="15">
        <v>0</v>
      </c>
      <c r="H21" s="15"/>
      <c r="I21" s="3">
        <f t="shared" ref="I21" si="7">+G21-F21</f>
        <v>0</v>
      </c>
      <c r="J21" s="3">
        <f t="shared" ref="J21" si="8">+G21-E21</f>
        <v>0</v>
      </c>
      <c r="K21" s="41"/>
    </row>
    <row r="22" spans="1:12" ht="15.5" thickBot="1" x14ac:dyDescent="0.9">
      <c r="A22" s="1"/>
      <c r="B22" s="1"/>
      <c r="C22" s="1" t="s">
        <v>17</v>
      </c>
      <c r="D22" s="5">
        <v>805054.64</v>
      </c>
      <c r="E22" s="3">
        <f t="shared" ref="E22" si="9">+D22/10*12</f>
        <v>966065.56800000009</v>
      </c>
      <c r="F22" s="16">
        <v>920000</v>
      </c>
      <c r="G22" s="16">
        <f>12*95000</f>
        <v>1140000</v>
      </c>
      <c r="H22" s="32">
        <f>+G22/G25</f>
        <v>0.24529316837009144</v>
      </c>
      <c r="I22" s="4">
        <f>+G22-F22</f>
        <v>220000</v>
      </c>
      <c r="J22" s="4">
        <f>+G22-E22</f>
        <v>173934.43199999991</v>
      </c>
      <c r="K22" s="41" t="s">
        <v>130</v>
      </c>
    </row>
    <row r="23" spans="1:12" ht="15.5" thickBot="1" x14ac:dyDescent="0.9">
      <c r="A23" s="1"/>
      <c r="B23" s="1" t="s">
        <v>18</v>
      </c>
      <c r="C23" s="1"/>
      <c r="D23" s="6">
        <f>ROUND(SUM(D20:D22),5)</f>
        <v>805054.64</v>
      </c>
      <c r="E23" s="18">
        <f>ROUND(SUM(E20:E22),5)</f>
        <v>966065.56799999997</v>
      </c>
      <c r="F23" s="18">
        <f t="shared" ref="F23:G23" si="10">ROUND(SUM(F20:F22),5)</f>
        <v>920000</v>
      </c>
      <c r="G23" s="18">
        <f t="shared" si="10"/>
        <v>1140000</v>
      </c>
      <c r="H23" s="36">
        <f>+G23/G25</f>
        <v>0.24529316837009144</v>
      </c>
      <c r="I23" s="3">
        <f>SUM(I21:I22)</f>
        <v>220000</v>
      </c>
      <c r="J23" s="3">
        <f>SUM(J21:J22)</f>
        <v>173934.43199999991</v>
      </c>
    </row>
    <row r="24" spans="1:12" ht="15.5" thickBot="1" x14ac:dyDescent="0.9">
      <c r="A24" s="1"/>
      <c r="B24" s="1"/>
      <c r="C24" s="1"/>
      <c r="D24" s="7">
        <f>ROUND(SUM(D4:D5)+D14+D19+D23,5)</f>
        <v>4750753.37</v>
      </c>
      <c r="E24" s="7">
        <f>ROUND(SUM(E4:E5)+E14+E19+E23,5)</f>
        <v>3023097.2439999999</v>
      </c>
      <c r="F24" s="17">
        <f>ROUND(SUM(F4:F5)+F14+F19+F23,5)</f>
        <v>3101800</v>
      </c>
      <c r="G24" s="17">
        <f>ROUND(SUM(G4:G5)+G14+G19+G23,5)</f>
        <v>4647500</v>
      </c>
      <c r="H24" s="36">
        <v>1</v>
      </c>
      <c r="I24" s="7">
        <f>ROUND(SUM(I4:I5)+I14+I19+I23,5)</f>
        <v>1545700</v>
      </c>
      <c r="J24" s="7">
        <f>ROUND(SUM(J4:J5)+J14+J19+J23,5)</f>
        <v>1624402.7560000001</v>
      </c>
    </row>
    <row r="25" spans="1:12" x14ac:dyDescent="0.75">
      <c r="A25" s="1"/>
      <c r="B25" s="1"/>
      <c r="C25" s="1"/>
      <c r="D25" s="3">
        <f>D24</f>
        <v>4750753.37</v>
      </c>
      <c r="E25" s="3">
        <f>E24</f>
        <v>3023097.2439999999</v>
      </c>
      <c r="F25" s="15">
        <f t="shared" ref="F25:G25" si="11">F24</f>
        <v>3101800</v>
      </c>
      <c r="G25" s="15">
        <f t="shared" si="11"/>
        <v>4647500</v>
      </c>
      <c r="H25" s="33">
        <v>1</v>
      </c>
      <c r="I25" s="3">
        <f>I24</f>
        <v>1545700</v>
      </c>
      <c r="J25" s="3">
        <f t="shared" ref="J25" si="12">J24</f>
        <v>1624402.7560000001</v>
      </c>
    </row>
    <row r="26" spans="1:12" x14ac:dyDescent="0.75">
      <c r="A26" s="1"/>
      <c r="B26" s="1"/>
      <c r="C26" s="1"/>
      <c r="D26" s="3"/>
      <c r="E26" s="3"/>
      <c r="F26" s="15"/>
      <c r="G26" s="15"/>
      <c r="H26" s="15"/>
      <c r="I26" s="3"/>
      <c r="J26" s="3"/>
    </row>
    <row r="27" spans="1:12" x14ac:dyDescent="0.75">
      <c r="A27" s="1"/>
      <c r="B27" s="1" t="s">
        <v>19</v>
      </c>
      <c r="C27" s="1"/>
      <c r="D27" s="3"/>
      <c r="E27" s="3"/>
      <c r="F27" s="15"/>
      <c r="G27" s="15"/>
      <c r="H27" s="15"/>
      <c r="I27" s="3"/>
      <c r="J27" s="3"/>
    </row>
    <row r="28" spans="1:12" x14ac:dyDescent="0.75">
      <c r="A28" s="1"/>
      <c r="B28" s="1"/>
      <c r="C28" s="1" t="s">
        <v>20</v>
      </c>
      <c r="D28" s="3">
        <v>532457.19999999995</v>
      </c>
      <c r="E28" s="3">
        <f t="shared" ref="E28:E31" si="13">+D28/10*12</f>
        <v>638948.6399999999</v>
      </c>
      <c r="F28" s="15">
        <v>650000</v>
      </c>
      <c r="G28" s="26">
        <v>1039067.23</v>
      </c>
      <c r="H28" s="31">
        <f>+G28/$G$112</f>
        <v>0.23539668283484039</v>
      </c>
      <c r="I28" s="3">
        <f t="shared" ref="I28:I31" si="14">+G28-F28</f>
        <v>389067.23</v>
      </c>
      <c r="J28" s="3">
        <f t="shared" ref="J28:J31" si="15">+G28-E28</f>
        <v>400118.59000000008</v>
      </c>
      <c r="K28" s="37" t="s">
        <v>133</v>
      </c>
    </row>
    <row r="29" spans="1:12" x14ac:dyDescent="0.75">
      <c r="A29" s="1"/>
      <c r="B29" s="1"/>
      <c r="C29" s="1" t="s">
        <v>21</v>
      </c>
      <c r="D29" s="3">
        <v>39116.99</v>
      </c>
      <c r="E29" s="3">
        <f t="shared" si="13"/>
        <v>46940.387999999992</v>
      </c>
      <c r="F29" s="15">
        <f>+F28*0.08</f>
        <v>52000</v>
      </c>
      <c r="G29" s="26">
        <f>+G28*0.08</f>
        <v>83125.378400000001</v>
      </c>
      <c r="H29" s="31">
        <f t="shared" ref="H29:H31" si="16">+G29/$G$112</f>
        <v>1.8831734626787233E-2</v>
      </c>
      <c r="I29" s="3">
        <f t="shared" si="14"/>
        <v>31125.378400000001</v>
      </c>
      <c r="J29" s="3">
        <f t="shared" si="15"/>
        <v>36184.99040000001</v>
      </c>
      <c r="L29" s="21"/>
    </row>
    <row r="30" spans="1:12" x14ac:dyDescent="0.75">
      <c r="A30" s="1"/>
      <c r="B30" s="1"/>
      <c r="C30" s="1" t="s">
        <v>22</v>
      </c>
      <c r="D30" s="3">
        <v>13154.37</v>
      </c>
      <c r="E30" s="3">
        <f t="shared" si="13"/>
        <v>15785.244000000002</v>
      </c>
      <c r="F30" s="15">
        <f>+F28*0.03</f>
        <v>19500</v>
      </c>
      <c r="G30" s="26">
        <f>+G28*0.03</f>
        <v>31172.016899999999</v>
      </c>
      <c r="H30" s="31">
        <f t="shared" si="16"/>
        <v>7.0619004850452118E-3</v>
      </c>
      <c r="I30" s="3">
        <f t="shared" si="14"/>
        <v>11672.016899999999</v>
      </c>
      <c r="J30" s="3">
        <f t="shared" si="15"/>
        <v>15386.772899999996</v>
      </c>
      <c r="L30" s="21"/>
    </row>
    <row r="31" spans="1:12" ht="15.5" thickBot="1" x14ac:dyDescent="0.9">
      <c r="A31" s="1"/>
      <c r="B31" s="1"/>
      <c r="C31" s="1" t="s">
        <v>23</v>
      </c>
      <c r="D31" s="4">
        <v>86754.59</v>
      </c>
      <c r="E31" s="4">
        <f t="shared" si="13"/>
        <v>104105.50799999999</v>
      </c>
      <c r="F31" s="16">
        <f>+F28*0.117</f>
        <v>76050</v>
      </c>
      <c r="G31" s="16">
        <f>+G28*0.117</f>
        <v>121570.86591000001</v>
      </c>
      <c r="H31" s="32">
        <f t="shared" si="16"/>
        <v>2.7541411891676328E-2</v>
      </c>
      <c r="I31" s="4">
        <f t="shared" si="14"/>
        <v>45520.865910000008</v>
      </c>
      <c r="J31" s="4">
        <f t="shared" si="15"/>
        <v>17465.357910000021</v>
      </c>
      <c r="L31" s="21"/>
    </row>
    <row r="32" spans="1:12" x14ac:dyDescent="0.75">
      <c r="A32" s="1"/>
      <c r="B32" s="1" t="s">
        <v>24</v>
      </c>
      <c r="C32" s="1"/>
      <c r="D32" s="3">
        <f>ROUND(SUM(D27:D31),5)</f>
        <v>671483.15</v>
      </c>
      <c r="E32" s="3">
        <f>ROUND(SUM(E27:E31),5)</f>
        <v>805779.78</v>
      </c>
      <c r="F32" s="15">
        <f>ROUND(SUM(F27:F31),5)</f>
        <v>797550</v>
      </c>
      <c r="G32" s="15">
        <f>ROUND(SUM(G27:G31),5)</f>
        <v>1274935.4912099999</v>
      </c>
      <c r="H32" s="33">
        <f>SUM(H28:H31)</f>
        <v>0.28883172983834915</v>
      </c>
      <c r="I32" s="3">
        <f>SUM(I28:I31)</f>
        <v>477385.49120999995</v>
      </c>
      <c r="J32" s="3">
        <f>SUM(J28:J31)</f>
        <v>469155.7112100001</v>
      </c>
    </row>
    <row r="33" spans="1:12" x14ac:dyDescent="0.75">
      <c r="A33" s="1"/>
      <c r="B33" s="1" t="s">
        <v>25</v>
      </c>
      <c r="C33" s="1"/>
      <c r="D33" s="3"/>
      <c r="E33" s="3"/>
      <c r="F33" s="15"/>
      <c r="G33" s="15"/>
      <c r="H33" s="33"/>
      <c r="I33" s="3"/>
      <c r="J33" s="3"/>
    </row>
    <row r="34" spans="1:12" x14ac:dyDescent="0.75">
      <c r="A34" s="1"/>
      <c r="B34" s="1"/>
      <c r="C34" s="1" t="s">
        <v>26</v>
      </c>
      <c r="D34" s="3">
        <v>305335.7</v>
      </c>
      <c r="E34" s="3">
        <f>+D34+300000</f>
        <v>605335.69999999995</v>
      </c>
      <c r="F34" s="15">
        <f>7*150000</f>
        <v>1050000</v>
      </c>
      <c r="G34" s="15">
        <f>10*140000</f>
        <v>1400000</v>
      </c>
      <c r="H34" s="31">
        <f t="shared" ref="H34:H42" si="17">+G34/$G$112</f>
        <v>0.31716461308165456</v>
      </c>
      <c r="I34" s="3">
        <f t="shared" ref="I34:I42" si="18">+G34-F34</f>
        <v>350000</v>
      </c>
      <c r="J34" s="3">
        <f t="shared" ref="J34:J42" si="19">+G34-E34</f>
        <v>794664.3</v>
      </c>
      <c r="K34" s="37" t="s">
        <v>137</v>
      </c>
    </row>
    <row r="35" spans="1:12" x14ac:dyDescent="0.75">
      <c r="A35" s="1"/>
      <c r="B35" s="1"/>
      <c r="C35" s="1" t="s">
        <v>27</v>
      </c>
      <c r="D35" s="3">
        <v>182.18</v>
      </c>
      <c r="E35" s="3">
        <f t="shared" ref="E35:E42" si="20">+D35/10*12</f>
        <v>218.61599999999999</v>
      </c>
      <c r="F35" s="15">
        <v>1200</v>
      </c>
      <c r="G35" s="15">
        <v>1200</v>
      </c>
      <c r="H35" s="31">
        <f t="shared" si="17"/>
        <v>2.7185538264141822E-4</v>
      </c>
      <c r="I35" s="3">
        <f t="shared" si="18"/>
        <v>0</v>
      </c>
      <c r="J35" s="3">
        <f t="shared" si="19"/>
        <v>981.38400000000001</v>
      </c>
    </row>
    <row r="36" spans="1:12" x14ac:dyDescent="0.75">
      <c r="A36" s="1"/>
      <c r="B36" s="1"/>
      <c r="C36" s="1" t="s">
        <v>28</v>
      </c>
      <c r="D36" s="3">
        <v>10023.549999999999</v>
      </c>
      <c r="E36" s="3">
        <f t="shared" si="20"/>
        <v>12028.259999999998</v>
      </c>
      <c r="F36" s="15">
        <v>10500</v>
      </c>
      <c r="G36" s="15">
        <v>16000</v>
      </c>
      <c r="H36" s="31">
        <f t="shared" si="17"/>
        <v>3.6247384352189093E-3</v>
      </c>
      <c r="I36" s="3">
        <f t="shared" si="18"/>
        <v>5500</v>
      </c>
      <c r="J36" s="3">
        <f t="shared" si="19"/>
        <v>3971.7400000000016</v>
      </c>
      <c r="K36" s="37" t="s">
        <v>139</v>
      </c>
    </row>
    <row r="37" spans="1:12" x14ac:dyDescent="0.75">
      <c r="A37" s="1"/>
      <c r="B37" s="1"/>
      <c r="C37" s="1" t="s">
        <v>29</v>
      </c>
      <c r="D37" s="3">
        <v>1107.68</v>
      </c>
      <c r="E37" s="3">
        <f t="shared" si="20"/>
        <v>1329.2159999999999</v>
      </c>
      <c r="F37" s="15">
        <f>250*12</f>
        <v>3000</v>
      </c>
      <c r="G37" s="15">
        <v>2100</v>
      </c>
      <c r="H37" s="31">
        <f t="shared" si="17"/>
        <v>4.7574691962248183E-4</v>
      </c>
      <c r="I37" s="3">
        <f t="shared" si="18"/>
        <v>-900</v>
      </c>
      <c r="J37" s="3">
        <f t="shared" si="19"/>
        <v>770.78400000000011</v>
      </c>
    </row>
    <row r="38" spans="1:12" x14ac:dyDescent="0.75">
      <c r="A38" s="1"/>
      <c r="B38" s="1"/>
      <c r="C38" s="1" t="s">
        <v>30</v>
      </c>
      <c r="D38" s="3">
        <v>0</v>
      </c>
      <c r="E38" s="3">
        <f t="shared" si="20"/>
        <v>0</v>
      </c>
      <c r="F38" s="15">
        <v>1200</v>
      </c>
      <c r="G38" s="15">
        <v>4200</v>
      </c>
      <c r="H38" s="31">
        <f t="shared" si="17"/>
        <v>9.5149383924496365E-4</v>
      </c>
      <c r="I38" s="3">
        <f t="shared" si="18"/>
        <v>3000</v>
      </c>
      <c r="J38" s="3">
        <f t="shared" si="19"/>
        <v>4200</v>
      </c>
    </row>
    <row r="39" spans="1:12" x14ac:dyDescent="0.75">
      <c r="A39" s="1"/>
      <c r="B39" s="1"/>
      <c r="C39" s="1" t="s">
        <v>31</v>
      </c>
      <c r="D39" s="3">
        <v>2408.94</v>
      </c>
      <c r="E39" s="3">
        <f t="shared" si="20"/>
        <v>2890.7280000000001</v>
      </c>
      <c r="F39" s="15">
        <f>350*12</f>
        <v>4200</v>
      </c>
      <c r="G39" s="15">
        <v>3000</v>
      </c>
      <c r="H39" s="31">
        <f t="shared" si="17"/>
        <v>6.7963845660354543E-4</v>
      </c>
      <c r="I39" s="3">
        <f t="shared" si="18"/>
        <v>-1200</v>
      </c>
      <c r="J39" s="3">
        <f t="shared" si="19"/>
        <v>109.27199999999993</v>
      </c>
    </row>
    <row r="40" spans="1:12" x14ac:dyDescent="0.75">
      <c r="A40" s="1"/>
      <c r="B40" s="1"/>
      <c r="C40" s="1" t="s">
        <v>32</v>
      </c>
      <c r="D40" s="3">
        <v>950.24</v>
      </c>
      <c r="E40" s="3">
        <f t="shared" si="20"/>
        <v>1140.288</v>
      </c>
      <c r="F40" s="15">
        <v>450</v>
      </c>
      <c r="G40" s="15">
        <v>450</v>
      </c>
      <c r="H40" s="31">
        <f t="shared" si="17"/>
        <v>1.0194576849053182E-4</v>
      </c>
      <c r="I40" s="3">
        <f t="shared" si="18"/>
        <v>0</v>
      </c>
      <c r="J40" s="3">
        <f t="shared" si="19"/>
        <v>-690.28800000000001</v>
      </c>
    </row>
    <row r="41" spans="1:12" x14ac:dyDescent="0.75">
      <c r="A41" s="1"/>
      <c r="B41" s="1"/>
      <c r="C41" s="1" t="s">
        <v>33</v>
      </c>
      <c r="D41" s="3">
        <v>5062.2</v>
      </c>
      <c r="E41" s="3">
        <f t="shared" si="20"/>
        <v>6074.6399999999994</v>
      </c>
      <c r="F41" s="15">
        <f>250*12</f>
        <v>3000</v>
      </c>
      <c r="G41" s="15">
        <v>13600</v>
      </c>
      <c r="H41" s="31">
        <f t="shared" si="17"/>
        <v>3.0810276699360728E-3</v>
      </c>
      <c r="I41" s="3">
        <f t="shared" si="18"/>
        <v>10600</v>
      </c>
      <c r="J41" s="3">
        <f t="shared" si="19"/>
        <v>7525.3600000000006</v>
      </c>
      <c r="K41" s="37" t="s">
        <v>152</v>
      </c>
    </row>
    <row r="42" spans="1:12" ht="15.5" thickBot="1" x14ac:dyDescent="0.9">
      <c r="A42" s="1"/>
      <c r="B42" s="1"/>
      <c r="C42" s="1" t="s">
        <v>34</v>
      </c>
      <c r="D42" s="4">
        <v>-1187.68</v>
      </c>
      <c r="E42" s="4">
        <f t="shared" si="20"/>
        <v>-1425.2159999999999</v>
      </c>
      <c r="F42" s="16">
        <v>-2400</v>
      </c>
      <c r="G42" s="16">
        <v>-2400</v>
      </c>
      <c r="H42" s="32">
        <f t="shared" si="17"/>
        <v>-5.4371076528283643E-4</v>
      </c>
      <c r="I42" s="4">
        <f t="shared" si="18"/>
        <v>0</v>
      </c>
      <c r="J42" s="4">
        <f t="shared" si="19"/>
        <v>-974.78400000000011</v>
      </c>
    </row>
    <row r="43" spans="1:12" x14ac:dyDescent="0.75">
      <c r="A43" s="1"/>
      <c r="B43" s="1" t="s">
        <v>35</v>
      </c>
      <c r="C43" s="1"/>
      <c r="D43" s="3">
        <f>ROUND(SUM(D33:D42),5)</f>
        <v>323882.81</v>
      </c>
      <c r="E43" s="3">
        <f>ROUND(SUM(E33:E42),5)</f>
        <v>627592.23199999996</v>
      </c>
      <c r="F43" s="15">
        <f>ROUND(SUM(F33:F42),5)</f>
        <v>1071150</v>
      </c>
      <c r="G43" s="15">
        <f>ROUND(SUM(G33:G42),5)</f>
        <v>1438150</v>
      </c>
      <c r="H43" s="33">
        <f>SUM(H34:H42)</f>
        <v>0.32580734878812972</v>
      </c>
      <c r="I43" s="3">
        <f>SUM(I34:I42)</f>
        <v>367000</v>
      </c>
      <c r="J43" s="3">
        <f>SUM(J34:J42)</f>
        <v>810557.76800000004</v>
      </c>
    </row>
    <row r="44" spans="1:12" x14ac:dyDescent="0.75">
      <c r="A44" s="1"/>
      <c r="B44" s="1" t="s">
        <v>36</v>
      </c>
      <c r="C44" s="1"/>
      <c r="D44" s="3"/>
      <c r="E44" s="3"/>
      <c r="F44" s="15"/>
      <c r="G44" s="15"/>
      <c r="H44" s="33"/>
      <c r="I44" s="3"/>
      <c r="J44" s="3"/>
    </row>
    <row r="45" spans="1:12" x14ac:dyDescent="0.75">
      <c r="A45" s="1"/>
      <c r="B45" s="1"/>
      <c r="C45" s="1" t="s">
        <v>37</v>
      </c>
      <c r="D45" s="3">
        <v>93671.57</v>
      </c>
      <c r="E45" s="3">
        <f t="shared" ref="E45:E48" si="21">+D45/10*12</f>
        <v>112405.88400000002</v>
      </c>
      <c r="F45" s="15">
        <v>106860</v>
      </c>
      <c r="G45" s="26">
        <v>155000</v>
      </c>
      <c r="H45" s="31">
        <f t="shared" ref="H45:H52" si="22">+G45/$G$112</f>
        <v>3.5114653591183181E-2</v>
      </c>
      <c r="I45" s="3">
        <f t="shared" ref="I45:I52" si="23">+G45-F45</f>
        <v>48140</v>
      </c>
      <c r="J45" s="3">
        <f t="shared" ref="J45:J52" si="24">+G45-E45</f>
        <v>42594.11599999998</v>
      </c>
      <c r="K45" s="37" t="s">
        <v>133</v>
      </c>
    </row>
    <row r="46" spans="1:12" x14ac:dyDescent="0.75">
      <c r="A46" s="1"/>
      <c r="B46" s="1"/>
      <c r="C46" s="1" t="s">
        <v>38</v>
      </c>
      <c r="D46" s="3">
        <v>6624.27</v>
      </c>
      <c r="E46" s="3">
        <f t="shared" si="21"/>
        <v>7949.1239999999998</v>
      </c>
      <c r="F46" s="15">
        <f>+F45*0.08</f>
        <v>8548.7999999999993</v>
      </c>
      <c r="G46" s="26">
        <f>+G45*0.08</f>
        <v>12400</v>
      </c>
      <c r="H46" s="31">
        <f t="shared" si="22"/>
        <v>2.8091722872946546E-3</v>
      </c>
      <c r="I46" s="3">
        <f t="shared" si="23"/>
        <v>3851.2000000000007</v>
      </c>
      <c r="J46" s="3">
        <f t="shared" si="24"/>
        <v>4450.8760000000002</v>
      </c>
      <c r="L46" s="21"/>
    </row>
    <row r="47" spans="1:12" x14ac:dyDescent="0.75">
      <c r="A47" s="1"/>
      <c r="B47" s="1"/>
      <c r="C47" s="1" t="s">
        <v>39</v>
      </c>
      <c r="D47" s="3">
        <v>2856.75</v>
      </c>
      <c r="E47" s="3">
        <f t="shared" si="21"/>
        <v>3428.1000000000004</v>
      </c>
      <c r="F47" s="15">
        <f>+F45*0.03</f>
        <v>3205.7999999999997</v>
      </c>
      <c r="G47" s="26">
        <f>+G45*0.03</f>
        <v>4650</v>
      </c>
      <c r="H47" s="31">
        <f t="shared" si="22"/>
        <v>1.0534396077354956E-3</v>
      </c>
      <c r="I47" s="3">
        <f t="shared" si="23"/>
        <v>1444.2000000000003</v>
      </c>
      <c r="J47" s="3">
        <f t="shared" si="24"/>
        <v>1221.8999999999996</v>
      </c>
      <c r="L47" s="21"/>
    </row>
    <row r="48" spans="1:12" x14ac:dyDescent="0.75">
      <c r="A48" s="1"/>
      <c r="B48" s="1"/>
      <c r="C48" s="1" t="s">
        <v>40</v>
      </c>
      <c r="D48" s="3">
        <v>22531.4</v>
      </c>
      <c r="E48" s="3">
        <f t="shared" si="21"/>
        <v>27037.680000000004</v>
      </c>
      <c r="F48" s="15">
        <f>+F45*0.18</f>
        <v>19234.8</v>
      </c>
      <c r="G48" s="26">
        <f>+G45*0.18</f>
        <v>27900</v>
      </c>
      <c r="H48" s="31">
        <f t="shared" si="22"/>
        <v>6.3206376464129731E-3</v>
      </c>
      <c r="I48" s="3">
        <f t="shared" si="23"/>
        <v>8665.2000000000007</v>
      </c>
      <c r="J48" s="3">
        <f t="shared" si="24"/>
        <v>862.31999999999607</v>
      </c>
      <c r="L48" s="21"/>
    </row>
    <row r="49" spans="1:11" x14ac:dyDescent="0.75">
      <c r="A49" s="1"/>
      <c r="B49" s="1"/>
      <c r="C49" s="1" t="s">
        <v>41</v>
      </c>
      <c r="D49" s="3">
        <v>125788.21</v>
      </c>
      <c r="E49" s="3">
        <f t="shared" ref="E49:E52" si="25">+D49/10*12</f>
        <v>150945.85200000001</v>
      </c>
      <c r="F49" s="15">
        <f>8500*12</f>
        <v>102000</v>
      </c>
      <c r="G49" s="20">
        <f>50*5500</f>
        <v>275000</v>
      </c>
      <c r="H49" s="31">
        <f t="shared" si="22"/>
        <v>6.2300191855325003E-2</v>
      </c>
      <c r="I49" s="3">
        <f t="shared" si="23"/>
        <v>173000</v>
      </c>
      <c r="J49" s="3">
        <f t="shared" si="24"/>
        <v>124054.14799999999</v>
      </c>
      <c r="K49" s="37" t="s">
        <v>141</v>
      </c>
    </row>
    <row r="50" spans="1:11" x14ac:dyDescent="0.75">
      <c r="A50" s="1"/>
      <c r="B50" s="1"/>
      <c r="C50" s="1" t="s">
        <v>42</v>
      </c>
      <c r="D50" s="3">
        <v>3843.98</v>
      </c>
      <c r="E50" s="3">
        <f t="shared" si="25"/>
        <v>4612.7759999999998</v>
      </c>
      <c r="F50" s="15">
        <f>6720+300</f>
        <v>7020</v>
      </c>
      <c r="G50" s="15">
        <v>4800</v>
      </c>
      <c r="H50" s="31">
        <f t="shared" si="22"/>
        <v>1.0874215305656729E-3</v>
      </c>
      <c r="I50" s="3">
        <f t="shared" si="23"/>
        <v>-2220</v>
      </c>
      <c r="J50" s="3">
        <f t="shared" si="24"/>
        <v>187.22400000000016</v>
      </c>
    </row>
    <row r="51" spans="1:11" x14ac:dyDescent="0.75">
      <c r="A51" s="1"/>
      <c r="B51" s="1"/>
      <c r="C51" s="1" t="s">
        <v>43</v>
      </c>
      <c r="D51" s="3">
        <v>5676.25</v>
      </c>
      <c r="E51" s="3">
        <f t="shared" si="25"/>
        <v>6811.5</v>
      </c>
      <c r="F51" s="15">
        <v>3900</v>
      </c>
      <c r="G51" s="15">
        <v>13600</v>
      </c>
      <c r="H51" s="31">
        <f t="shared" si="22"/>
        <v>3.0810276699360728E-3</v>
      </c>
      <c r="I51" s="3">
        <f t="shared" si="23"/>
        <v>9700</v>
      </c>
      <c r="J51" s="3">
        <f t="shared" si="24"/>
        <v>6788.5</v>
      </c>
      <c r="K51" s="37" t="s">
        <v>152</v>
      </c>
    </row>
    <row r="52" spans="1:11" ht="15.5" thickBot="1" x14ac:dyDescent="0.9">
      <c r="A52" s="1"/>
      <c r="B52" s="1"/>
      <c r="C52" s="1" t="s">
        <v>44</v>
      </c>
      <c r="D52" s="4">
        <v>3.54</v>
      </c>
      <c r="E52" s="4">
        <f t="shared" si="25"/>
        <v>4.2479999999999993</v>
      </c>
      <c r="F52" s="16">
        <v>0</v>
      </c>
      <c r="G52" s="16">
        <v>1600</v>
      </c>
      <c r="H52" s="32">
        <f t="shared" si="22"/>
        <v>3.6247384352189094E-4</v>
      </c>
      <c r="I52" s="4">
        <f t="shared" si="23"/>
        <v>1600</v>
      </c>
      <c r="J52" s="4">
        <f t="shared" si="24"/>
        <v>1595.752</v>
      </c>
      <c r="K52" s="37" t="s">
        <v>143</v>
      </c>
    </row>
    <row r="53" spans="1:11" x14ac:dyDescent="0.75">
      <c r="A53" s="1"/>
      <c r="B53" s="1" t="s">
        <v>45</v>
      </c>
      <c r="C53" s="1"/>
      <c r="D53" s="3">
        <f>ROUND(SUM(D44:D52),5)</f>
        <v>260995.97</v>
      </c>
      <c r="E53" s="3">
        <f>ROUND(SUM(E44:E52),5)</f>
        <v>313195.16399999999</v>
      </c>
      <c r="F53" s="15">
        <f>ROUND(SUM(F44:F52),5)</f>
        <v>250769.4</v>
      </c>
      <c r="G53" s="15">
        <f>ROUND(SUM(G44:G52),5)</f>
        <v>494950</v>
      </c>
      <c r="H53" s="33">
        <f>SUM(H45:H52)</f>
        <v>0.11212901803197496</v>
      </c>
      <c r="I53" s="3">
        <f>SUM(I45:I52)</f>
        <v>244180.59999999998</v>
      </c>
      <c r="J53" s="3">
        <f>SUM(J45:J52)</f>
        <v>181754.83599999998</v>
      </c>
    </row>
    <row r="54" spans="1:11" x14ac:dyDescent="0.75">
      <c r="A54" s="1"/>
      <c r="B54" s="1" t="s">
        <v>46</v>
      </c>
      <c r="C54" s="1"/>
      <c r="D54" s="3"/>
      <c r="E54" s="3"/>
      <c r="F54" s="15"/>
      <c r="G54" s="15"/>
      <c r="H54" s="33"/>
      <c r="I54" s="3"/>
      <c r="J54" s="3"/>
    </row>
    <row r="55" spans="1:11" x14ac:dyDescent="0.75">
      <c r="A55" s="1"/>
      <c r="B55" s="1"/>
      <c r="C55" s="1" t="s">
        <v>117</v>
      </c>
      <c r="D55" s="3">
        <v>0</v>
      </c>
      <c r="E55" s="3">
        <v>0</v>
      </c>
      <c r="F55" s="15">
        <v>0</v>
      </c>
      <c r="G55" s="15">
        <f>6*1500</f>
        <v>9000</v>
      </c>
      <c r="H55" s="31">
        <f t="shared" ref="H55:H73" si="26">+G55/$G$112</f>
        <v>2.0389153698106366E-3</v>
      </c>
      <c r="I55" s="3">
        <f>+G55-F55</f>
        <v>9000</v>
      </c>
      <c r="J55" s="3">
        <f t="shared" ref="J55" si="27">+G55-E55</f>
        <v>9000</v>
      </c>
      <c r="K55" s="37" t="s">
        <v>144</v>
      </c>
    </row>
    <row r="56" spans="1:11" x14ac:dyDescent="0.75">
      <c r="A56" s="1"/>
      <c r="B56" s="1"/>
      <c r="C56" s="1" t="s">
        <v>47</v>
      </c>
      <c r="D56" s="3">
        <v>10000</v>
      </c>
      <c r="E56" s="3">
        <f t="shared" ref="E56:E73" si="28">+D56/10*12</f>
        <v>12000</v>
      </c>
      <c r="F56" s="15">
        <v>5000</v>
      </c>
      <c r="G56" s="15">
        <v>12000</v>
      </c>
      <c r="H56" s="31">
        <f t="shared" si="26"/>
        <v>2.7185538264141817E-3</v>
      </c>
      <c r="I56" s="3">
        <f>+G56-F56</f>
        <v>7000</v>
      </c>
      <c r="J56" s="3">
        <f t="shared" ref="J56:J73" si="29">+G56-E56</f>
        <v>0</v>
      </c>
    </row>
    <row r="57" spans="1:11" x14ac:dyDescent="0.75">
      <c r="A57" s="1"/>
      <c r="B57" s="1"/>
      <c r="C57" s="1" t="s">
        <v>48</v>
      </c>
      <c r="D57" s="3">
        <v>6485.35</v>
      </c>
      <c r="E57" s="3">
        <f t="shared" si="28"/>
        <v>7782.420000000001</v>
      </c>
      <c r="F57" s="15">
        <v>6600</v>
      </c>
      <c r="G57" s="15">
        <v>3000</v>
      </c>
      <c r="H57" s="31">
        <f t="shared" si="26"/>
        <v>6.7963845660354543E-4</v>
      </c>
      <c r="I57" s="3">
        <f t="shared" ref="I57:I73" si="30">+G57-F57</f>
        <v>-3600</v>
      </c>
      <c r="J57" s="3">
        <f t="shared" si="29"/>
        <v>-4782.420000000001</v>
      </c>
      <c r="K57" s="37" t="s">
        <v>145</v>
      </c>
    </row>
    <row r="58" spans="1:11" x14ac:dyDescent="0.75">
      <c r="A58" s="1"/>
      <c r="B58" s="1"/>
      <c r="C58" s="1" t="s">
        <v>49</v>
      </c>
      <c r="D58" s="3">
        <v>10904.6</v>
      </c>
      <c r="E58" s="3">
        <f t="shared" si="28"/>
        <v>13085.52</v>
      </c>
      <c r="F58" s="15">
        <v>12000</v>
      </c>
      <c r="G58" s="15">
        <v>15000</v>
      </c>
      <c r="H58" s="31">
        <f t="shared" si="26"/>
        <v>3.3981922830177273E-3</v>
      </c>
      <c r="I58" s="3">
        <f t="shared" si="30"/>
        <v>3000</v>
      </c>
      <c r="J58" s="3">
        <f t="shared" si="29"/>
        <v>1914.4799999999996</v>
      </c>
      <c r="K58" s="37" t="s">
        <v>146</v>
      </c>
    </row>
    <row r="59" spans="1:11" x14ac:dyDescent="0.75">
      <c r="A59" s="1"/>
      <c r="B59" s="1"/>
      <c r="C59" s="1" t="s">
        <v>50</v>
      </c>
      <c r="D59" s="3">
        <v>16569.12</v>
      </c>
      <c r="E59" s="3">
        <f t="shared" si="28"/>
        <v>19882.943999999996</v>
      </c>
      <c r="F59" s="15">
        <v>9000</v>
      </c>
      <c r="G59" s="15">
        <v>15600</v>
      </c>
      <c r="H59" s="31">
        <f t="shared" si="26"/>
        <v>3.5341199743384364E-3</v>
      </c>
      <c r="I59" s="3">
        <f t="shared" si="30"/>
        <v>6600</v>
      </c>
      <c r="J59" s="3">
        <f t="shared" si="29"/>
        <v>-4282.9439999999959</v>
      </c>
    </row>
    <row r="60" spans="1:11" x14ac:dyDescent="0.75">
      <c r="A60" s="1"/>
      <c r="B60" s="1"/>
      <c r="C60" s="1" t="s">
        <v>51</v>
      </c>
      <c r="D60" s="3">
        <v>1268.8699999999999</v>
      </c>
      <c r="E60" s="3">
        <f t="shared" si="28"/>
        <v>1522.6439999999998</v>
      </c>
      <c r="F60" s="15">
        <v>1500</v>
      </c>
      <c r="G60" s="15">
        <v>1500</v>
      </c>
      <c r="H60" s="31">
        <f t="shared" si="26"/>
        <v>3.3981922830177272E-4</v>
      </c>
      <c r="I60" s="3">
        <f t="shared" si="30"/>
        <v>0</v>
      </c>
      <c r="J60" s="3">
        <f t="shared" si="29"/>
        <v>-22.643999999999778</v>
      </c>
    </row>
    <row r="61" spans="1:11" x14ac:dyDescent="0.75">
      <c r="A61" s="1"/>
      <c r="B61" s="1"/>
      <c r="C61" s="1" t="s">
        <v>52</v>
      </c>
      <c r="D61" s="3">
        <v>10006.91</v>
      </c>
      <c r="E61" s="3">
        <f t="shared" si="28"/>
        <v>12008.292000000001</v>
      </c>
      <c r="F61" s="15">
        <v>11650</v>
      </c>
      <c r="G61" s="15">
        <v>12000</v>
      </c>
      <c r="H61" s="31">
        <f t="shared" si="26"/>
        <v>2.7185538264141817E-3</v>
      </c>
      <c r="I61" s="3">
        <f t="shared" si="30"/>
        <v>350</v>
      </c>
      <c r="J61" s="3">
        <f t="shared" si="29"/>
        <v>-8.2920000000012806</v>
      </c>
    </row>
    <row r="62" spans="1:11" x14ac:dyDescent="0.75">
      <c r="A62" s="1"/>
      <c r="B62" s="1"/>
      <c r="C62" s="1" t="s">
        <v>53</v>
      </c>
      <c r="D62" s="3">
        <v>18948.52</v>
      </c>
      <c r="E62" s="3">
        <f t="shared" si="28"/>
        <v>22738.224000000002</v>
      </c>
      <c r="F62" s="15">
        <v>19600</v>
      </c>
      <c r="G62" s="20">
        <v>34800</v>
      </c>
      <c r="H62" s="31">
        <f t="shared" si="26"/>
        <v>7.8838060966011283E-3</v>
      </c>
      <c r="I62" s="3">
        <f t="shared" si="30"/>
        <v>15200</v>
      </c>
      <c r="J62" s="3">
        <f t="shared" si="29"/>
        <v>12061.775999999998</v>
      </c>
      <c r="K62" s="37" t="s">
        <v>147</v>
      </c>
    </row>
    <row r="63" spans="1:11" x14ac:dyDescent="0.75">
      <c r="A63" s="1"/>
      <c r="B63" s="1"/>
      <c r="C63" s="1" t="s">
        <v>54</v>
      </c>
      <c r="D63" s="3">
        <v>5636.23</v>
      </c>
      <c r="E63" s="3">
        <f t="shared" si="28"/>
        <v>6763.4759999999987</v>
      </c>
      <c r="F63" s="15">
        <v>4800</v>
      </c>
      <c r="G63" s="15">
        <v>4800</v>
      </c>
      <c r="H63" s="31">
        <f t="shared" si="26"/>
        <v>1.0874215305656729E-3</v>
      </c>
      <c r="I63" s="3">
        <f t="shared" si="30"/>
        <v>0</v>
      </c>
      <c r="J63" s="3">
        <f t="shared" si="29"/>
        <v>-1963.4759999999987</v>
      </c>
    </row>
    <row r="64" spans="1:11" x14ac:dyDescent="0.75">
      <c r="A64" s="1"/>
      <c r="B64" s="1"/>
      <c r="C64" s="1" t="s">
        <v>55</v>
      </c>
      <c r="D64" s="3">
        <v>1766.8</v>
      </c>
      <c r="E64" s="3">
        <f t="shared" si="28"/>
        <v>2120.16</v>
      </c>
      <c r="F64" s="15">
        <v>5000</v>
      </c>
      <c r="G64" s="15">
        <v>5000</v>
      </c>
      <c r="H64" s="31">
        <f t="shared" si="26"/>
        <v>1.1327307610059091E-3</v>
      </c>
      <c r="I64" s="3">
        <f t="shared" si="30"/>
        <v>0</v>
      </c>
      <c r="J64" s="3">
        <f t="shared" si="29"/>
        <v>2879.84</v>
      </c>
    </row>
    <row r="65" spans="1:12" x14ac:dyDescent="0.75">
      <c r="A65" s="1"/>
      <c r="B65" s="1"/>
      <c r="C65" s="1" t="s">
        <v>56</v>
      </c>
      <c r="D65" s="3">
        <v>7500</v>
      </c>
      <c r="E65" s="3">
        <f t="shared" si="28"/>
        <v>9000</v>
      </c>
      <c r="F65" s="15">
        <v>7500</v>
      </c>
      <c r="G65" s="15">
        <v>7500</v>
      </c>
      <c r="H65" s="31">
        <f t="shared" si="26"/>
        <v>1.6990961415088636E-3</v>
      </c>
      <c r="I65" s="3">
        <f t="shared" si="30"/>
        <v>0</v>
      </c>
      <c r="J65" s="3">
        <f t="shared" si="29"/>
        <v>-1500</v>
      </c>
    </row>
    <row r="66" spans="1:12" x14ac:dyDescent="0.75">
      <c r="A66" s="1"/>
      <c r="B66" s="1"/>
      <c r="C66" s="1" t="s">
        <v>57</v>
      </c>
      <c r="D66" s="3">
        <v>149</v>
      </c>
      <c r="E66" s="3">
        <f t="shared" si="28"/>
        <v>178.8</v>
      </c>
      <c r="F66" s="15">
        <v>5000</v>
      </c>
      <c r="G66" s="15">
        <v>5000</v>
      </c>
      <c r="H66" s="31">
        <f t="shared" si="26"/>
        <v>1.1327307610059091E-3</v>
      </c>
      <c r="I66" s="3">
        <f t="shared" si="30"/>
        <v>0</v>
      </c>
      <c r="J66" s="3">
        <f t="shared" si="29"/>
        <v>4821.2</v>
      </c>
    </row>
    <row r="67" spans="1:12" x14ac:dyDescent="0.75">
      <c r="A67" s="1"/>
      <c r="B67" s="1"/>
      <c r="C67" s="1" t="s">
        <v>58</v>
      </c>
      <c r="D67" s="3">
        <v>27551.68</v>
      </c>
      <c r="E67" s="3">
        <f t="shared" si="28"/>
        <v>33062.016000000003</v>
      </c>
      <c r="F67" s="15">
        <v>16000</v>
      </c>
      <c r="G67" s="15">
        <v>24000</v>
      </c>
      <c r="H67" s="31">
        <f t="shared" si="26"/>
        <v>5.4371076528283635E-3</v>
      </c>
      <c r="I67" s="3">
        <f t="shared" si="30"/>
        <v>8000</v>
      </c>
      <c r="J67" s="3">
        <f t="shared" si="29"/>
        <v>-9062.0160000000033</v>
      </c>
    </row>
    <row r="68" spans="1:12" x14ac:dyDescent="0.75">
      <c r="A68" s="1"/>
      <c r="B68" s="1"/>
      <c r="C68" s="1" t="s">
        <v>59</v>
      </c>
      <c r="D68" s="3">
        <v>12275.38</v>
      </c>
      <c r="E68" s="3">
        <f t="shared" si="28"/>
        <v>14730.456</v>
      </c>
      <c r="F68" s="15">
        <v>15600</v>
      </c>
      <c r="G68" s="15">
        <v>15120</v>
      </c>
      <c r="H68" s="31">
        <f t="shared" si="26"/>
        <v>3.4253778212818692E-3</v>
      </c>
      <c r="I68" s="3">
        <f t="shared" si="30"/>
        <v>-480</v>
      </c>
      <c r="J68" s="3">
        <f t="shared" si="29"/>
        <v>389.54399999999987</v>
      </c>
    </row>
    <row r="69" spans="1:12" x14ac:dyDescent="0.75">
      <c r="A69" s="1"/>
      <c r="B69" s="1"/>
      <c r="C69" s="1" t="s">
        <v>60</v>
      </c>
      <c r="D69" s="3">
        <v>3584.51</v>
      </c>
      <c r="E69" s="3">
        <f t="shared" si="28"/>
        <v>4301.4120000000003</v>
      </c>
      <c r="F69" s="15">
        <v>6400</v>
      </c>
      <c r="G69" s="15">
        <v>6400</v>
      </c>
      <c r="H69" s="31">
        <f t="shared" si="26"/>
        <v>1.4498953740875638E-3</v>
      </c>
      <c r="I69" s="3">
        <f t="shared" si="30"/>
        <v>0</v>
      </c>
      <c r="J69" s="3">
        <f t="shared" si="29"/>
        <v>2098.5879999999997</v>
      </c>
    </row>
    <row r="70" spans="1:12" x14ac:dyDescent="0.75">
      <c r="A70" s="1"/>
      <c r="B70" s="1"/>
      <c r="C70" s="1" t="s">
        <v>61</v>
      </c>
      <c r="D70" s="3">
        <v>21412.5</v>
      </c>
      <c r="E70" s="3">
        <f t="shared" si="28"/>
        <v>25695</v>
      </c>
      <c r="F70" s="15">
        <v>33600</v>
      </c>
      <c r="G70" s="15">
        <f>33600+10000</f>
        <v>43600</v>
      </c>
      <c r="H70" s="31">
        <f t="shared" si="26"/>
        <v>9.8774122359715274E-3</v>
      </c>
      <c r="I70" s="3">
        <f t="shared" si="30"/>
        <v>10000</v>
      </c>
      <c r="J70" s="3">
        <f t="shared" si="29"/>
        <v>17905</v>
      </c>
      <c r="K70" s="37" t="s">
        <v>151</v>
      </c>
    </row>
    <row r="71" spans="1:12" x14ac:dyDescent="0.75">
      <c r="A71" s="1"/>
      <c r="B71" s="1"/>
      <c r="C71" s="1" t="s">
        <v>62</v>
      </c>
      <c r="D71" s="3">
        <v>1059</v>
      </c>
      <c r="E71" s="3">
        <f t="shared" si="28"/>
        <v>1270.8000000000002</v>
      </c>
      <c r="F71" s="15">
        <v>3600</v>
      </c>
      <c r="G71" s="15">
        <v>3600</v>
      </c>
      <c r="H71" s="31">
        <f t="shared" si="26"/>
        <v>8.1556614792425454E-4</v>
      </c>
      <c r="I71" s="3">
        <f t="shared" si="30"/>
        <v>0</v>
      </c>
      <c r="J71" s="3">
        <f t="shared" si="29"/>
        <v>2329.1999999999998</v>
      </c>
    </row>
    <row r="72" spans="1:12" x14ac:dyDescent="0.75">
      <c r="A72" s="1"/>
      <c r="B72" s="1"/>
      <c r="C72" s="1" t="s">
        <v>63</v>
      </c>
      <c r="D72" s="3">
        <v>34943.93</v>
      </c>
      <c r="E72" s="3">
        <f t="shared" si="28"/>
        <v>41932.716</v>
      </c>
      <c r="F72" s="15">
        <v>34000</v>
      </c>
      <c r="G72" s="15">
        <v>34000</v>
      </c>
      <c r="H72" s="31">
        <f t="shared" si="26"/>
        <v>7.7025691748401825E-3</v>
      </c>
      <c r="I72" s="3">
        <f t="shared" si="30"/>
        <v>0</v>
      </c>
      <c r="J72" s="3">
        <f t="shared" si="29"/>
        <v>-7932.7160000000003</v>
      </c>
    </row>
    <row r="73" spans="1:12" ht="15.5" thickBot="1" x14ac:dyDescent="0.9">
      <c r="A73" s="1"/>
      <c r="B73" s="1"/>
      <c r="C73" s="1" t="s">
        <v>64</v>
      </c>
      <c r="D73" s="4">
        <v>14555.72</v>
      </c>
      <c r="E73" s="4">
        <f t="shared" si="28"/>
        <v>17466.863999999998</v>
      </c>
      <c r="F73" s="16">
        <f>9000+8000+(250*4)+300</f>
        <v>18300</v>
      </c>
      <c r="G73" s="16">
        <f>9000+8000+(250*4)+300</f>
        <v>18300</v>
      </c>
      <c r="H73" s="32">
        <f t="shared" si="26"/>
        <v>4.1457945852816274E-3</v>
      </c>
      <c r="I73" s="4">
        <f t="shared" si="30"/>
        <v>0</v>
      </c>
      <c r="J73" s="4">
        <f t="shared" si="29"/>
        <v>833.13600000000224</v>
      </c>
    </row>
    <row r="74" spans="1:12" x14ac:dyDescent="0.75">
      <c r="A74" s="1"/>
      <c r="B74" s="1" t="s">
        <v>65</v>
      </c>
      <c r="C74" s="1"/>
      <c r="D74" s="3">
        <f>ROUND(SUM(D54:D73),5)</f>
        <v>204618.12</v>
      </c>
      <c r="E74" s="3">
        <f>ROUND(SUM(E54:E73),5)</f>
        <v>245541.74400000001</v>
      </c>
      <c r="F74" s="15">
        <f>ROUND(SUM(F54:F73),5)</f>
        <v>215150</v>
      </c>
      <c r="G74" s="15">
        <f>ROUND(SUM(G54:G73),5)</f>
        <v>270220</v>
      </c>
      <c r="H74" s="33">
        <f>SUM(H55:H73)</f>
        <v>6.1217301247803363E-2</v>
      </c>
      <c r="I74" s="3">
        <f>SUM(I55:I73)</f>
        <v>55070</v>
      </c>
      <c r="J74" s="3">
        <f>SUM(J55:J73)</f>
        <v>24678.256000000001</v>
      </c>
    </row>
    <row r="75" spans="1:12" x14ac:dyDescent="0.75">
      <c r="A75" s="1"/>
      <c r="B75" s="1" t="s">
        <v>66</v>
      </c>
      <c r="C75" s="1"/>
      <c r="D75" s="3"/>
      <c r="E75" s="3"/>
      <c r="F75" s="15"/>
      <c r="G75" s="15"/>
      <c r="H75" s="33"/>
      <c r="I75" s="3"/>
      <c r="J75" s="3"/>
    </row>
    <row r="76" spans="1:12" x14ac:dyDescent="0.75">
      <c r="A76" s="1"/>
      <c r="B76" s="1"/>
      <c r="C76" s="1" t="s">
        <v>67</v>
      </c>
      <c r="D76" s="3">
        <v>3508.56</v>
      </c>
      <c r="E76" s="3">
        <f t="shared" ref="E76:E86" si="31">+D76/10*12</f>
        <v>4210.2719999999999</v>
      </c>
      <c r="F76" s="15">
        <f>500*5+7000</f>
        <v>9500</v>
      </c>
      <c r="G76" s="15">
        <v>4200</v>
      </c>
      <c r="H76" s="31">
        <f t="shared" ref="H76:H86" si="32">+G76/$G$112</f>
        <v>9.5149383924496365E-4</v>
      </c>
      <c r="I76" s="3">
        <f t="shared" ref="I76:I86" si="33">+G76-F76</f>
        <v>-5300</v>
      </c>
      <c r="J76" s="3">
        <f t="shared" ref="J76:J83" si="34">+G76-E76</f>
        <v>-10.271999999999935</v>
      </c>
    </row>
    <row r="77" spans="1:12" x14ac:dyDescent="0.75">
      <c r="A77" s="1"/>
      <c r="B77" s="1"/>
      <c r="C77" s="1" t="s">
        <v>68</v>
      </c>
      <c r="D77" s="3">
        <v>8339</v>
      </c>
      <c r="E77" s="3">
        <f t="shared" si="31"/>
        <v>10006.799999999999</v>
      </c>
      <c r="F77" s="15">
        <f>12000+4500+5000+5000+3000</f>
        <v>29500</v>
      </c>
      <c r="G77" s="20">
        <f>12000+4500+5000+5000+3000</f>
        <v>29500</v>
      </c>
      <c r="H77" s="31">
        <f t="shared" si="32"/>
        <v>6.6831114899348638E-3</v>
      </c>
      <c r="I77" s="3">
        <f t="shared" si="33"/>
        <v>0</v>
      </c>
      <c r="J77" s="3">
        <f t="shared" si="34"/>
        <v>19493.2</v>
      </c>
      <c r="K77" s="37" t="s">
        <v>153</v>
      </c>
      <c r="L77" s="22"/>
    </row>
    <row r="78" spans="1:12" x14ac:dyDescent="0.75">
      <c r="A78" s="1"/>
      <c r="B78" s="1"/>
      <c r="C78" s="1" t="s">
        <v>69</v>
      </c>
      <c r="D78" s="3">
        <v>1252.6600000000001</v>
      </c>
      <c r="E78" s="3">
        <f t="shared" si="31"/>
        <v>1503.192</v>
      </c>
      <c r="F78" s="15">
        <f>2500+2100</f>
        <v>4600</v>
      </c>
      <c r="G78" s="20">
        <v>2400</v>
      </c>
      <c r="H78" s="31">
        <f t="shared" si="32"/>
        <v>5.4371076528283643E-4</v>
      </c>
      <c r="I78" s="3">
        <f t="shared" si="33"/>
        <v>-2200</v>
      </c>
      <c r="J78" s="3">
        <f t="shared" si="34"/>
        <v>896.80799999999999</v>
      </c>
    </row>
    <row r="79" spans="1:12" x14ac:dyDescent="0.75">
      <c r="A79" s="1"/>
      <c r="B79" s="1"/>
      <c r="C79" s="1" t="s">
        <v>70</v>
      </c>
      <c r="D79" s="3">
        <v>1084.5999999999999</v>
      </c>
      <c r="E79" s="3">
        <f t="shared" si="31"/>
        <v>1301.52</v>
      </c>
      <c r="F79" s="15">
        <f>2*4000+4*1000+8500</f>
        <v>20500</v>
      </c>
      <c r="G79" s="20">
        <f>2*4000+4*1000+8500</f>
        <v>20500</v>
      </c>
      <c r="H79" s="31">
        <f t="shared" si="32"/>
        <v>4.6441961201242271E-3</v>
      </c>
      <c r="I79" s="3">
        <f t="shared" si="33"/>
        <v>0</v>
      </c>
      <c r="J79" s="3">
        <f t="shared" si="34"/>
        <v>19198.48</v>
      </c>
    </row>
    <row r="80" spans="1:12" x14ac:dyDescent="0.75">
      <c r="A80" s="1"/>
      <c r="B80" s="1"/>
      <c r="C80" s="1" t="s">
        <v>71</v>
      </c>
      <c r="D80" s="3">
        <v>11698.11</v>
      </c>
      <c r="E80" s="3">
        <f t="shared" si="31"/>
        <v>14037.732000000002</v>
      </c>
      <c r="F80" s="15">
        <v>12000</v>
      </c>
      <c r="G80" s="20">
        <v>12000</v>
      </c>
      <c r="H80" s="31">
        <f t="shared" si="32"/>
        <v>2.7185538264141817E-3</v>
      </c>
      <c r="I80" s="3">
        <f t="shared" si="33"/>
        <v>0</v>
      </c>
      <c r="J80" s="3">
        <f t="shared" si="34"/>
        <v>-2037.7320000000018</v>
      </c>
    </row>
    <row r="81" spans="1:12" x14ac:dyDescent="0.75">
      <c r="A81" s="1"/>
      <c r="B81" s="1"/>
      <c r="C81" s="1" t="s">
        <v>72</v>
      </c>
      <c r="D81" s="3">
        <v>212.9</v>
      </c>
      <c r="E81" s="3">
        <f t="shared" si="31"/>
        <v>255.48</v>
      </c>
      <c r="F81" s="15">
        <v>400</v>
      </c>
      <c r="G81" s="20">
        <v>400</v>
      </c>
      <c r="H81" s="31">
        <f t="shared" si="32"/>
        <v>9.0618460880472734E-5</v>
      </c>
      <c r="I81" s="3">
        <f t="shared" si="33"/>
        <v>0</v>
      </c>
      <c r="J81" s="3">
        <f t="shared" si="34"/>
        <v>144.52000000000001</v>
      </c>
    </row>
    <row r="82" spans="1:12" x14ac:dyDescent="0.75">
      <c r="A82" s="1"/>
      <c r="B82" s="1"/>
      <c r="C82" s="1" t="s">
        <v>73</v>
      </c>
      <c r="D82" s="3">
        <v>1959.43</v>
      </c>
      <c r="E82" s="3">
        <f t="shared" si="31"/>
        <v>2351.3160000000003</v>
      </c>
      <c r="F82" s="15">
        <v>0</v>
      </c>
      <c r="G82" s="20">
        <v>0</v>
      </c>
      <c r="H82" s="31">
        <f t="shared" si="32"/>
        <v>0</v>
      </c>
      <c r="I82" s="3">
        <f t="shared" si="33"/>
        <v>0</v>
      </c>
      <c r="J82" s="3">
        <f t="shared" si="34"/>
        <v>-2351.3160000000003</v>
      </c>
    </row>
    <row r="83" spans="1:12" x14ac:dyDescent="0.75">
      <c r="A83" s="1"/>
      <c r="B83" s="1"/>
      <c r="C83" s="1" t="s">
        <v>74</v>
      </c>
      <c r="D83" s="3">
        <v>45990.37</v>
      </c>
      <c r="E83" s="3">
        <f t="shared" si="31"/>
        <v>55188.444000000003</v>
      </c>
      <c r="F83" s="15">
        <f>2700*12+2500*4</f>
        <v>42400</v>
      </c>
      <c r="G83" s="20">
        <f>(2280*12)+2000+10000</f>
        <v>39360</v>
      </c>
      <c r="H83" s="31">
        <f t="shared" si="32"/>
        <v>8.9168565506385165E-3</v>
      </c>
      <c r="I83" s="3">
        <f t="shared" si="33"/>
        <v>-3040</v>
      </c>
      <c r="J83" s="3">
        <f t="shared" si="34"/>
        <v>-15828.444000000003</v>
      </c>
      <c r="K83" s="37" t="s">
        <v>149</v>
      </c>
    </row>
    <row r="84" spans="1:12" x14ac:dyDescent="0.75">
      <c r="A84" s="1"/>
      <c r="B84" s="1"/>
      <c r="C84" s="1" t="s">
        <v>75</v>
      </c>
      <c r="D84" s="3">
        <v>859.9</v>
      </c>
      <c r="E84" s="3">
        <f t="shared" si="31"/>
        <v>1031.8799999999999</v>
      </c>
      <c r="F84" s="15">
        <v>1200</v>
      </c>
      <c r="G84" s="15">
        <v>1200</v>
      </c>
      <c r="H84" s="31">
        <f t="shared" si="32"/>
        <v>2.7185538264141822E-4</v>
      </c>
      <c r="I84" s="3">
        <f t="shared" si="33"/>
        <v>0</v>
      </c>
      <c r="J84" s="3">
        <f>+G84-E84</f>
        <v>168.12000000000012</v>
      </c>
    </row>
    <row r="85" spans="1:12" x14ac:dyDescent="0.75">
      <c r="A85" s="1"/>
      <c r="B85" s="1"/>
      <c r="C85" s="1" t="s">
        <v>76</v>
      </c>
      <c r="D85" s="3">
        <v>3600</v>
      </c>
      <c r="E85" s="3">
        <f t="shared" si="31"/>
        <v>4320</v>
      </c>
      <c r="F85" s="15">
        <v>0</v>
      </c>
      <c r="G85" s="15">
        <v>0</v>
      </c>
      <c r="H85" s="31">
        <f t="shared" si="32"/>
        <v>0</v>
      </c>
      <c r="I85" s="3">
        <f t="shared" si="33"/>
        <v>0</v>
      </c>
      <c r="J85" s="3">
        <f t="shared" ref="J85" si="35">+G85-E85</f>
        <v>-4320</v>
      </c>
    </row>
    <row r="86" spans="1:12" ht="15.5" thickBot="1" x14ac:dyDescent="0.9">
      <c r="A86" s="1"/>
      <c r="B86" s="1"/>
      <c r="C86" s="1" t="s">
        <v>77</v>
      </c>
      <c r="D86" s="4">
        <v>10015</v>
      </c>
      <c r="E86" s="4">
        <f t="shared" si="31"/>
        <v>12018</v>
      </c>
      <c r="F86" s="16">
        <f>1000*12+7000+5000</f>
        <v>24000</v>
      </c>
      <c r="G86" s="16">
        <f>1000*12+7000+5000</f>
        <v>24000</v>
      </c>
      <c r="H86" s="32">
        <f t="shared" si="32"/>
        <v>5.4371076528283635E-3</v>
      </c>
      <c r="I86" s="4">
        <f t="shared" si="33"/>
        <v>0</v>
      </c>
      <c r="J86" s="4">
        <f>+G86-E86</f>
        <v>11982</v>
      </c>
      <c r="K86" s="37" t="s">
        <v>154</v>
      </c>
    </row>
    <row r="87" spans="1:12" x14ac:dyDescent="0.75">
      <c r="A87" s="1"/>
      <c r="B87" s="1" t="s">
        <v>78</v>
      </c>
      <c r="C87" s="1"/>
      <c r="D87" s="3">
        <f>ROUND(SUM(D75:D86),5)</f>
        <v>88520.53</v>
      </c>
      <c r="E87" s="3">
        <f>ROUND(SUM(E75:E86),5)</f>
        <v>106224.636</v>
      </c>
      <c r="F87" s="15">
        <f>ROUND(SUM(F75:F86),5)</f>
        <v>144100</v>
      </c>
      <c r="G87" s="15">
        <f>ROUND(SUM(G75:G86),5)</f>
        <v>133560</v>
      </c>
      <c r="H87" s="33">
        <f>SUM(H76:H86)</f>
        <v>3.0257504087989849E-2</v>
      </c>
      <c r="I87" s="3">
        <f>SUM(I76:I86)</f>
        <v>-10540</v>
      </c>
      <c r="J87" s="3">
        <f>SUM(J76:J86)</f>
        <v>27335.36399999999</v>
      </c>
    </row>
    <row r="88" spans="1:12" x14ac:dyDescent="0.75">
      <c r="A88" s="1"/>
      <c r="B88" s="1" t="s">
        <v>79</v>
      </c>
      <c r="C88" s="1"/>
      <c r="D88" s="3"/>
      <c r="E88" s="3"/>
      <c r="F88" s="15"/>
      <c r="G88" s="15"/>
      <c r="H88" s="33"/>
      <c r="I88" s="3"/>
      <c r="J88" s="3"/>
    </row>
    <row r="89" spans="1:12" x14ac:dyDescent="0.75">
      <c r="A89" s="1"/>
      <c r="B89" s="1"/>
      <c r="C89" s="1" t="s">
        <v>80</v>
      </c>
      <c r="D89" s="3">
        <v>236476.51</v>
      </c>
      <c r="E89" s="3">
        <f t="shared" ref="E89:E92" si="36">+D89/10*12</f>
        <v>283771.81200000003</v>
      </c>
      <c r="F89" s="15">
        <v>297180</v>
      </c>
      <c r="G89" s="20">
        <f>375117.6-21000</f>
        <v>354117.6</v>
      </c>
      <c r="H89" s="31">
        <f t="shared" ref="H89:H92" si="37">+G89/$G$112</f>
        <v>8.0223979706717213E-2</v>
      </c>
      <c r="I89" s="3">
        <f t="shared" ref="I89:I92" si="38">+G89-F89</f>
        <v>56937.599999999977</v>
      </c>
      <c r="J89" s="3">
        <f>+G89-E89</f>
        <v>70345.787999999942</v>
      </c>
      <c r="K89" s="37" t="s">
        <v>133</v>
      </c>
    </row>
    <row r="90" spans="1:12" x14ac:dyDescent="0.75">
      <c r="A90" s="1"/>
      <c r="B90" s="1"/>
      <c r="C90" s="1" t="s">
        <v>81</v>
      </c>
      <c r="D90" s="3">
        <v>17625.169999999998</v>
      </c>
      <c r="E90" s="3">
        <f t="shared" si="36"/>
        <v>21150.203999999998</v>
      </c>
      <c r="F90" s="15">
        <f>+F89*0.08</f>
        <v>23774.400000000001</v>
      </c>
      <c r="G90" s="20">
        <f>+G89*0.08</f>
        <v>28329.407999999999</v>
      </c>
      <c r="H90" s="31">
        <f t="shared" si="37"/>
        <v>6.4179183765373776E-3</v>
      </c>
      <c r="I90" s="3">
        <f t="shared" si="38"/>
        <v>4555.007999999998</v>
      </c>
      <c r="J90" s="3">
        <f>+G90-E90</f>
        <v>7179.2040000000015</v>
      </c>
      <c r="L90" s="23"/>
    </row>
    <row r="91" spans="1:12" x14ac:dyDescent="0.75">
      <c r="A91" s="1"/>
      <c r="B91" s="1"/>
      <c r="C91" s="1" t="s">
        <v>82</v>
      </c>
      <c r="D91" s="3">
        <v>4725.6099999999997</v>
      </c>
      <c r="E91" s="3">
        <f t="shared" si="36"/>
        <v>5670.732</v>
      </c>
      <c r="F91" s="15">
        <f>+F89*0.025</f>
        <v>7429.5</v>
      </c>
      <c r="G91" s="20">
        <f>+G89*0.025</f>
        <v>8852.94</v>
      </c>
      <c r="H91" s="31">
        <f t="shared" si="37"/>
        <v>2.0055994926679306E-3</v>
      </c>
      <c r="I91" s="3">
        <f t="shared" si="38"/>
        <v>1423.4400000000005</v>
      </c>
      <c r="J91" s="3">
        <f>+G91-E91</f>
        <v>3182.2080000000005</v>
      </c>
      <c r="L91" s="23"/>
    </row>
    <row r="92" spans="1:12" ht="15.5" thickBot="1" x14ac:dyDescent="0.9">
      <c r="A92" s="1"/>
      <c r="B92" s="1"/>
      <c r="C92" s="1" t="s">
        <v>83</v>
      </c>
      <c r="D92" s="4">
        <v>57501</v>
      </c>
      <c r="E92" s="4">
        <f t="shared" si="36"/>
        <v>69001.200000000012</v>
      </c>
      <c r="F92" s="16">
        <f>+F89*0.18</f>
        <v>53492.4</v>
      </c>
      <c r="G92" s="27">
        <f>+G89*0.18</f>
        <v>63741.167999999991</v>
      </c>
      <c r="H92" s="32">
        <f t="shared" si="37"/>
        <v>1.4440316347209098E-2</v>
      </c>
      <c r="I92" s="4">
        <f t="shared" si="38"/>
        <v>10248.767999999989</v>
      </c>
      <c r="J92" s="4">
        <f>+G92-E92</f>
        <v>-5260.0320000000211</v>
      </c>
      <c r="L92" s="23"/>
    </row>
    <row r="93" spans="1:12" x14ac:dyDescent="0.75">
      <c r="A93" s="1"/>
      <c r="B93" s="1" t="s">
        <v>84</v>
      </c>
      <c r="C93" s="1"/>
      <c r="D93" s="3">
        <f>ROUND(SUM(D88:D92),5)</f>
        <v>316328.28999999998</v>
      </c>
      <c r="E93" s="3">
        <f>ROUND(SUM(E88:E92),5)</f>
        <v>379593.94799999997</v>
      </c>
      <c r="F93" s="15">
        <f>ROUND(SUM(F88:F92),5)</f>
        <v>381876.3</v>
      </c>
      <c r="G93" s="15">
        <f>ROUND(SUM(G88:G92),5)</f>
        <v>455041.11599999998</v>
      </c>
      <c r="H93" s="33">
        <f>SUM(H89:H92)</f>
        <v>0.10308781392313163</v>
      </c>
      <c r="I93" s="3">
        <f>SUM(I89:I92)</f>
        <v>73164.815999999963</v>
      </c>
      <c r="J93" s="3">
        <f>SUM(J89:J92)</f>
        <v>75447.167999999918</v>
      </c>
      <c r="L93" s="46"/>
    </row>
    <row r="94" spans="1:12" x14ac:dyDescent="0.75">
      <c r="A94" s="1"/>
      <c r="B94" s="1" t="s">
        <v>85</v>
      </c>
      <c r="C94" s="1"/>
      <c r="D94" s="3"/>
      <c r="E94" s="3"/>
      <c r="F94" s="15"/>
      <c r="G94" s="15"/>
      <c r="H94" s="33"/>
      <c r="I94" s="3"/>
      <c r="J94" s="3"/>
    </row>
    <row r="95" spans="1:12" x14ac:dyDescent="0.75">
      <c r="A95" s="1"/>
      <c r="B95" s="1"/>
      <c r="C95" s="1" t="s">
        <v>86</v>
      </c>
      <c r="D95" s="3">
        <v>650.65</v>
      </c>
      <c r="E95" s="3">
        <f t="shared" ref="E95:E110" si="39">+D95/10*12</f>
        <v>780.78</v>
      </c>
      <c r="F95" s="15">
        <v>0</v>
      </c>
      <c r="G95" s="15">
        <v>0</v>
      </c>
      <c r="H95" s="31">
        <f t="shared" ref="H95:H110" si="40">+G95/$G$112</f>
        <v>0</v>
      </c>
      <c r="I95" s="3">
        <f t="shared" ref="I95:I110" si="41">+G95-F95</f>
        <v>0</v>
      </c>
      <c r="J95" s="3">
        <f t="shared" ref="J95:J110" si="42">+G95-E95</f>
        <v>-780.78</v>
      </c>
    </row>
    <row r="96" spans="1:12" x14ac:dyDescent="0.75">
      <c r="A96" s="1"/>
      <c r="B96" s="1"/>
      <c r="C96" s="1" t="s">
        <v>87</v>
      </c>
      <c r="D96" s="3">
        <v>12285</v>
      </c>
      <c r="E96" s="3">
        <f t="shared" si="39"/>
        <v>14742</v>
      </c>
      <c r="F96" s="15">
        <v>10075</v>
      </c>
      <c r="G96" s="15">
        <v>10075</v>
      </c>
      <c r="H96" s="31">
        <f t="shared" si="40"/>
        <v>2.2824524834269069E-3</v>
      </c>
      <c r="I96" s="3">
        <f t="shared" si="41"/>
        <v>0</v>
      </c>
      <c r="J96" s="3">
        <f t="shared" si="42"/>
        <v>-4667</v>
      </c>
    </row>
    <row r="97" spans="1:12" x14ac:dyDescent="0.75">
      <c r="A97" s="1"/>
      <c r="B97" s="1"/>
      <c r="C97" s="1" t="s">
        <v>88</v>
      </c>
      <c r="D97" s="3">
        <v>17701.66</v>
      </c>
      <c r="E97" s="3">
        <f t="shared" si="39"/>
        <v>21241.991999999998</v>
      </c>
      <c r="F97" s="15">
        <f>920000*0.013</f>
        <v>11960</v>
      </c>
      <c r="G97" s="15">
        <f>1025000*0.02</f>
        <v>20500</v>
      </c>
      <c r="H97" s="31">
        <f t="shared" si="40"/>
        <v>4.6441961201242271E-3</v>
      </c>
      <c r="I97" s="3">
        <f t="shared" si="41"/>
        <v>8540</v>
      </c>
      <c r="J97" s="3">
        <f t="shared" si="42"/>
        <v>-741.99199999999837</v>
      </c>
      <c r="L97" s="24"/>
    </row>
    <row r="98" spans="1:12" x14ac:dyDescent="0.75">
      <c r="A98" s="1"/>
      <c r="B98" s="1"/>
      <c r="C98" s="1" t="s">
        <v>89</v>
      </c>
      <c r="D98" s="3">
        <v>2468.8000000000002</v>
      </c>
      <c r="E98" s="3">
        <f t="shared" si="39"/>
        <v>2962.5600000000004</v>
      </c>
      <c r="F98" s="15">
        <v>10000</v>
      </c>
      <c r="G98" s="15">
        <v>10000</v>
      </c>
      <c r="H98" s="31">
        <f t="shared" si="40"/>
        <v>2.2654615220118182E-3</v>
      </c>
      <c r="I98" s="3">
        <f t="shared" si="41"/>
        <v>0</v>
      </c>
      <c r="J98" s="3">
        <f t="shared" si="42"/>
        <v>7037.44</v>
      </c>
      <c r="K98" s="37" t="s">
        <v>150</v>
      </c>
    </row>
    <row r="99" spans="1:12" x14ac:dyDescent="0.75">
      <c r="A99" s="1"/>
      <c r="B99" s="1"/>
      <c r="C99" s="1" t="s">
        <v>90</v>
      </c>
      <c r="D99" s="3">
        <v>7355.78</v>
      </c>
      <c r="E99" s="3">
        <f t="shared" si="39"/>
        <v>8826.9359999999997</v>
      </c>
      <c r="F99" s="15">
        <v>9000</v>
      </c>
      <c r="G99" s="15">
        <v>9000</v>
      </c>
      <c r="H99" s="31">
        <f t="shared" si="40"/>
        <v>2.0389153698106366E-3</v>
      </c>
      <c r="I99" s="3">
        <f t="shared" si="41"/>
        <v>0</v>
      </c>
      <c r="J99" s="3">
        <f t="shared" si="42"/>
        <v>173.06400000000031</v>
      </c>
    </row>
    <row r="100" spans="1:12" x14ac:dyDescent="0.75">
      <c r="A100" s="1"/>
      <c r="B100" s="1"/>
      <c r="C100" s="1" t="s">
        <v>91</v>
      </c>
      <c r="D100" s="3">
        <v>28128.07</v>
      </c>
      <c r="E100" s="3">
        <f t="shared" si="39"/>
        <v>33753.683999999994</v>
      </c>
      <c r="F100" s="15">
        <v>36000</v>
      </c>
      <c r="G100" s="15">
        <v>33000</v>
      </c>
      <c r="H100" s="31">
        <f t="shared" si="40"/>
        <v>7.4760230226390001E-3</v>
      </c>
      <c r="I100" s="3">
        <f t="shared" si="41"/>
        <v>-3000</v>
      </c>
      <c r="J100" s="3">
        <f t="shared" si="42"/>
        <v>-753.68399999999383</v>
      </c>
    </row>
    <row r="101" spans="1:12" x14ac:dyDescent="0.75">
      <c r="A101" s="1"/>
      <c r="B101" s="1"/>
      <c r="C101" s="1" t="s">
        <v>92</v>
      </c>
      <c r="D101" s="3">
        <v>1604</v>
      </c>
      <c r="E101" s="3">
        <f t="shared" si="39"/>
        <v>1924.8000000000002</v>
      </c>
      <c r="F101" s="15">
        <v>1200</v>
      </c>
      <c r="G101" s="15">
        <v>50000</v>
      </c>
      <c r="H101" s="31">
        <f t="shared" si="40"/>
        <v>1.1327307610059092E-2</v>
      </c>
      <c r="I101" s="3">
        <f t="shared" si="41"/>
        <v>48800</v>
      </c>
      <c r="J101" s="3">
        <f t="shared" si="42"/>
        <v>48075.199999999997</v>
      </c>
      <c r="K101" s="37" t="s">
        <v>148</v>
      </c>
    </row>
    <row r="102" spans="1:12" x14ac:dyDescent="0.75">
      <c r="A102" s="1"/>
      <c r="B102" s="1"/>
      <c r="C102" s="1" t="s">
        <v>93</v>
      </c>
      <c r="D102" s="3">
        <v>107</v>
      </c>
      <c r="E102" s="3">
        <f t="shared" si="39"/>
        <v>128.39999999999998</v>
      </c>
      <c r="F102" s="15">
        <v>2500</v>
      </c>
      <c r="G102" s="15">
        <v>7500</v>
      </c>
      <c r="H102" s="31">
        <f t="shared" si="40"/>
        <v>1.6990961415088636E-3</v>
      </c>
      <c r="I102" s="3">
        <f t="shared" si="41"/>
        <v>5000</v>
      </c>
      <c r="J102" s="3">
        <f t="shared" si="42"/>
        <v>7371.6</v>
      </c>
      <c r="K102" s="37" t="s">
        <v>155</v>
      </c>
    </row>
    <row r="103" spans="1:12" x14ac:dyDescent="0.75">
      <c r="A103" s="1"/>
      <c r="B103" s="1"/>
      <c r="C103" s="1" t="s">
        <v>94</v>
      </c>
      <c r="D103" s="3">
        <v>36016.400000000001</v>
      </c>
      <c r="E103" s="3">
        <f t="shared" si="39"/>
        <v>43219.680000000008</v>
      </c>
      <c r="F103" s="15">
        <f>34000-14000-3000-3500</f>
        <v>13500</v>
      </c>
      <c r="G103" s="20">
        <f>34000-14000-3000-3500+21000</f>
        <v>34500</v>
      </c>
      <c r="H103" s="31">
        <f t="shared" si="40"/>
        <v>7.8158422509407733E-3</v>
      </c>
      <c r="I103" s="3">
        <f t="shared" si="41"/>
        <v>21000</v>
      </c>
      <c r="J103" s="3">
        <f t="shared" si="42"/>
        <v>-8719.6800000000076</v>
      </c>
      <c r="K103" s="37" t="s">
        <v>156</v>
      </c>
    </row>
    <row r="104" spans="1:12" x14ac:dyDescent="0.75">
      <c r="A104" s="1"/>
      <c r="B104" s="1"/>
      <c r="C104" s="1" t="s">
        <v>95</v>
      </c>
      <c r="D104" s="3">
        <v>11363.1</v>
      </c>
      <c r="E104" s="3">
        <f t="shared" si="39"/>
        <v>13635.72</v>
      </c>
      <c r="F104" s="15">
        <f>300*12+13800+3000</f>
        <v>20400</v>
      </c>
      <c r="G104" s="15">
        <f>300*12+13800+3000</f>
        <v>20400</v>
      </c>
      <c r="H104" s="31">
        <f t="shared" si="40"/>
        <v>4.6215415049041097E-3</v>
      </c>
      <c r="I104" s="3">
        <f t="shared" si="41"/>
        <v>0</v>
      </c>
      <c r="J104" s="3">
        <f t="shared" si="42"/>
        <v>6764.2800000000007</v>
      </c>
    </row>
    <row r="105" spans="1:12" x14ac:dyDescent="0.75">
      <c r="A105" s="1"/>
      <c r="B105" s="1"/>
      <c r="C105" s="1" t="s">
        <v>96</v>
      </c>
      <c r="D105" s="3">
        <v>8400</v>
      </c>
      <c r="E105" s="3">
        <f t="shared" si="39"/>
        <v>10080</v>
      </c>
      <c r="F105" s="15">
        <v>14280</v>
      </c>
      <c r="G105" s="15">
        <v>14280</v>
      </c>
      <c r="H105" s="31">
        <f t="shared" si="40"/>
        <v>3.2350790534328767E-3</v>
      </c>
      <c r="I105" s="3">
        <f t="shared" si="41"/>
        <v>0</v>
      </c>
      <c r="J105" s="3">
        <f t="shared" si="42"/>
        <v>4200</v>
      </c>
    </row>
    <row r="106" spans="1:12" x14ac:dyDescent="0.75">
      <c r="A106" s="1"/>
      <c r="B106" s="1"/>
      <c r="C106" s="1" t="s">
        <v>97</v>
      </c>
      <c r="D106" s="3">
        <v>1131.23</v>
      </c>
      <c r="E106" s="3">
        <f t="shared" si="39"/>
        <v>1357.4760000000001</v>
      </c>
      <c r="F106" s="15">
        <v>1200</v>
      </c>
      <c r="G106" s="15">
        <v>4700</v>
      </c>
      <c r="H106" s="31">
        <f t="shared" si="40"/>
        <v>1.0647669153455545E-3</v>
      </c>
      <c r="I106" s="3">
        <f t="shared" si="41"/>
        <v>3500</v>
      </c>
      <c r="J106" s="3">
        <f t="shared" si="42"/>
        <v>3342.5239999999999</v>
      </c>
    </row>
    <row r="107" spans="1:12" x14ac:dyDescent="0.75">
      <c r="A107" s="1"/>
      <c r="B107" s="1"/>
      <c r="C107" s="1" t="s">
        <v>98</v>
      </c>
      <c r="D107" s="3">
        <v>52264.03</v>
      </c>
      <c r="E107" s="3">
        <f t="shared" si="39"/>
        <v>62716.836000000003</v>
      </c>
      <c r="F107" s="15">
        <f>920000*0.07</f>
        <v>64400.000000000007</v>
      </c>
      <c r="G107" s="15">
        <f>+G22*0.07</f>
        <v>79800.000000000015</v>
      </c>
      <c r="H107" s="31">
        <f t="shared" si="40"/>
        <v>1.8078382945654312E-2</v>
      </c>
      <c r="I107" s="3">
        <f t="shared" si="41"/>
        <v>15400.000000000007</v>
      </c>
      <c r="J107" s="3">
        <f t="shared" si="42"/>
        <v>17083.164000000012</v>
      </c>
      <c r="L107" s="24"/>
    </row>
    <row r="108" spans="1:12" x14ac:dyDescent="0.75">
      <c r="A108" s="1"/>
      <c r="B108" s="1"/>
      <c r="C108" s="1" t="s">
        <v>99</v>
      </c>
      <c r="D108" s="3">
        <v>6287.57</v>
      </c>
      <c r="E108" s="3">
        <f t="shared" si="39"/>
        <v>7545.0839999999989</v>
      </c>
      <c r="F108" s="15">
        <f>650*12</f>
        <v>7800</v>
      </c>
      <c r="G108" s="15">
        <f>1000*12+2000+1000</f>
        <v>15000</v>
      </c>
      <c r="H108" s="31">
        <f t="shared" si="40"/>
        <v>3.3981922830177273E-3</v>
      </c>
      <c r="I108" s="3">
        <f t="shared" si="41"/>
        <v>7200</v>
      </c>
      <c r="J108" s="3">
        <f t="shared" si="42"/>
        <v>7454.9160000000011</v>
      </c>
      <c r="K108" s="40" t="s">
        <v>152</v>
      </c>
    </row>
    <row r="109" spans="1:12" x14ac:dyDescent="0.75">
      <c r="A109" s="1"/>
      <c r="B109" s="1"/>
      <c r="C109" s="1" t="s">
        <v>100</v>
      </c>
      <c r="D109" s="3">
        <v>30928.5</v>
      </c>
      <c r="E109" s="3">
        <f t="shared" si="39"/>
        <v>37114.199999999997</v>
      </c>
      <c r="F109" s="15">
        <v>36000</v>
      </c>
      <c r="G109" s="15">
        <v>36000</v>
      </c>
      <c r="H109" s="31">
        <f t="shared" si="40"/>
        <v>8.1556614792425465E-3</v>
      </c>
      <c r="I109" s="3">
        <f t="shared" si="41"/>
        <v>0</v>
      </c>
      <c r="J109" s="3">
        <f>+G109-E109</f>
        <v>-1114.1999999999971</v>
      </c>
    </row>
    <row r="110" spans="1:12" ht="15.5" thickBot="1" x14ac:dyDescent="0.9">
      <c r="A110" s="1"/>
      <c r="B110" s="1"/>
      <c r="C110" s="1" t="s">
        <v>101</v>
      </c>
      <c r="D110" s="5">
        <v>89.35</v>
      </c>
      <c r="E110" s="3">
        <f t="shared" si="39"/>
        <v>107.21999999999998</v>
      </c>
      <c r="F110" s="15">
        <f>120*12</f>
        <v>1440</v>
      </c>
      <c r="G110" s="15">
        <v>2500</v>
      </c>
      <c r="H110" s="31">
        <f t="shared" si="40"/>
        <v>5.6636538050295455E-4</v>
      </c>
      <c r="I110" s="3">
        <f t="shared" si="41"/>
        <v>1060</v>
      </c>
      <c r="J110" s="3">
        <f t="shared" si="42"/>
        <v>2392.7800000000002</v>
      </c>
    </row>
    <row r="111" spans="1:12" ht="15.5" thickBot="1" x14ac:dyDescent="0.9">
      <c r="A111" s="1"/>
      <c r="B111" s="1" t="s">
        <v>102</v>
      </c>
      <c r="C111" s="1"/>
      <c r="D111" s="18">
        <f>ROUND(SUM(D95:D110),5)</f>
        <v>216781.14</v>
      </c>
      <c r="E111" s="18">
        <f>ROUND(SUM(E95:E110),5)</f>
        <v>260137.36799999999</v>
      </c>
      <c r="F111" s="18">
        <f>ROUND(SUM(F95:F110),5)</f>
        <v>239755</v>
      </c>
      <c r="G111" s="18">
        <f>ROUND(SUM(G95:G110),5)</f>
        <v>347255</v>
      </c>
      <c r="H111" s="34">
        <f>SUM(H95:H110)</f>
        <v>7.8669284082621388E-2</v>
      </c>
      <c r="I111" s="6">
        <f>SUM(I95:I110)</f>
        <v>107500</v>
      </c>
      <c r="J111" s="6">
        <f>SUM(J95:J110)</f>
        <v>87117.631999999998</v>
      </c>
      <c r="L111" s="46"/>
    </row>
    <row r="112" spans="1:12" ht="15.5" thickBot="1" x14ac:dyDescent="0.9">
      <c r="A112" s="1"/>
      <c r="B112" s="1"/>
      <c r="C112" s="1"/>
      <c r="D112" s="6">
        <f>ROUND(D26+D32+D43+D53+D74+D87+D93+D111,5)</f>
        <v>2082610.01</v>
      </c>
      <c r="E112" s="6">
        <f>ROUND(E26+E32+E43+E53+E74+E87+E93+E111,5)</f>
        <v>2738064.872</v>
      </c>
      <c r="F112" s="18">
        <f>ROUND(F26+F32+F43+F53+F74+F87+F93+F111,5)</f>
        <v>3100350.7</v>
      </c>
      <c r="G112" s="18">
        <f>ROUND(G26+G32+G43+G53+G74+G87+G93+G111,5)</f>
        <v>4414111.60721</v>
      </c>
      <c r="H112" s="30">
        <f>+H111+H93+H87+H74+H53+H43+H32</f>
        <v>1</v>
      </c>
      <c r="I112" s="18">
        <f>ROUND(I26+I32+I43+I53+I74+I87+I93+I111,5)</f>
        <v>1313760.9072100001</v>
      </c>
      <c r="J112" s="18">
        <f>ROUND(J26+J32+J43+J53+J74+J87+J93+J111,5)</f>
        <v>1676046.7352100001</v>
      </c>
      <c r="L112" s="47"/>
    </row>
    <row r="113" spans="1:12" s="9" customFormat="1" ht="15.5" thickBot="1" x14ac:dyDescent="0.9">
      <c r="A113" s="1" t="s">
        <v>103</v>
      </c>
      <c r="B113" s="1"/>
      <c r="C113" s="1"/>
      <c r="D113" s="8">
        <f>ROUND(D25-D112,5)</f>
        <v>2668143.36</v>
      </c>
      <c r="E113" s="8">
        <f t="shared" ref="E113:G113" si="43">ROUND(E25-E112,5)</f>
        <v>285032.37199999997</v>
      </c>
      <c r="F113" s="8">
        <f t="shared" si="43"/>
        <v>1449.3</v>
      </c>
      <c r="G113" s="8">
        <f t="shared" si="43"/>
        <v>233388.39279000001</v>
      </c>
      <c r="H113" s="35">
        <f>ROUND(H25-H112,5)</f>
        <v>0</v>
      </c>
      <c r="I113" s="8">
        <f>ROUND(I25-I112,5)</f>
        <v>231939.09279</v>
      </c>
      <c r="J113" s="8">
        <f>ROUND(J25-J112,5)</f>
        <v>-51643.979209999998</v>
      </c>
      <c r="K113" s="38"/>
      <c r="L113" s="47"/>
    </row>
    <row r="114" spans="1:12" ht="15.5" thickTop="1" x14ac:dyDescent="0.75"/>
    <row r="115" spans="1:12" x14ac:dyDescent="0.75">
      <c r="C115" s="43" t="s">
        <v>134</v>
      </c>
      <c r="E115" s="28"/>
      <c r="F115" s="28"/>
      <c r="G115" s="28"/>
      <c r="H115" s="28"/>
    </row>
    <row r="116" spans="1:12" x14ac:dyDescent="0.75">
      <c r="A116" s="42" t="s">
        <v>123</v>
      </c>
      <c r="B116" s="1" t="s">
        <v>124</v>
      </c>
      <c r="E116" s="28"/>
      <c r="F116" s="28"/>
      <c r="G116" s="28"/>
      <c r="H116" s="28"/>
    </row>
    <row r="117" spans="1:12" x14ac:dyDescent="0.75">
      <c r="A117" s="42" t="s">
        <v>125</v>
      </c>
      <c r="B117" s="1" t="s">
        <v>127</v>
      </c>
      <c r="E117" s="28"/>
      <c r="F117" s="28"/>
      <c r="G117" s="28"/>
      <c r="H117" s="28"/>
    </row>
    <row r="118" spans="1:12" x14ac:dyDescent="0.75">
      <c r="A118" s="42" t="s">
        <v>126</v>
      </c>
      <c r="B118" s="1" t="s">
        <v>128</v>
      </c>
      <c r="E118" s="28"/>
      <c r="F118" s="28"/>
      <c r="G118" s="28"/>
      <c r="H118" s="28"/>
    </row>
    <row r="119" spans="1:12" x14ac:dyDescent="0.75">
      <c r="A119" s="42" t="s">
        <v>129</v>
      </c>
      <c r="B119" s="1" t="s">
        <v>131</v>
      </c>
      <c r="E119" s="28"/>
      <c r="F119" s="28"/>
      <c r="G119" s="28"/>
      <c r="H119" s="28"/>
    </row>
    <row r="120" spans="1:12" x14ac:dyDescent="0.75">
      <c r="A120" s="42" t="s">
        <v>130</v>
      </c>
      <c r="B120" s="12" t="s">
        <v>132</v>
      </c>
      <c r="E120" s="28"/>
      <c r="F120" s="28"/>
      <c r="G120" s="28"/>
      <c r="H120" s="28"/>
    </row>
    <row r="121" spans="1:12" x14ac:dyDescent="0.75">
      <c r="A121" s="42"/>
      <c r="E121" s="28"/>
      <c r="F121" s="28"/>
      <c r="G121" s="28"/>
      <c r="H121" s="28"/>
    </row>
    <row r="122" spans="1:12" x14ac:dyDescent="0.75">
      <c r="A122" s="42"/>
      <c r="C122" s="43" t="s">
        <v>135</v>
      </c>
      <c r="E122" s="28"/>
      <c r="F122" s="28"/>
      <c r="G122" s="28"/>
      <c r="H122" s="28"/>
    </row>
    <row r="123" spans="1:12" ht="23.25" customHeight="1" x14ac:dyDescent="0.75">
      <c r="A123" s="44" t="s">
        <v>133</v>
      </c>
      <c r="B123" s="48" t="s">
        <v>136</v>
      </c>
      <c r="C123" s="48"/>
      <c r="D123" s="48"/>
      <c r="E123" s="48"/>
      <c r="F123" s="48"/>
      <c r="G123" s="48"/>
      <c r="H123" s="48"/>
      <c r="I123" s="48"/>
      <c r="J123" s="48"/>
    </row>
    <row r="124" spans="1:12" x14ac:dyDescent="0.75">
      <c r="A124" s="40" t="s">
        <v>137</v>
      </c>
      <c r="B124" s="1" t="s">
        <v>138</v>
      </c>
      <c r="E124" s="28"/>
      <c r="F124" s="28"/>
      <c r="G124" s="28"/>
      <c r="H124" s="28"/>
    </row>
    <row r="125" spans="1:12" x14ac:dyDescent="0.75">
      <c r="A125" s="40" t="s">
        <v>139</v>
      </c>
      <c r="B125" s="1" t="s">
        <v>140</v>
      </c>
      <c r="E125" s="28"/>
      <c r="F125" s="28"/>
      <c r="G125" s="28"/>
      <c r="H125" s="28"/>
    </row>
    <row r="126" spans="1:12" x14ac:dyDescent="0.75">
      <c r="A126" s="40" t="s">
        <v>141</v>
      </c>
      <c r="B126" s="1" t="s">
        <v>142</v>
      </c>
      <c r="E126" s="28"/>
      <c r="F126" s="28"/>
      <c r="G126" s="28"/>
      <c r="H126" s="28"/>
    </row>
    <row r="127" spans="1:12" x14ac:dyDescent="0.75">
      <c r="A127" s="40" t="s">
        <v>143</v>
      </c>
      <c r="B127" s="1" t="s">
        <v>157</v>
      </c>
      <c r="E127" s="28"/>
      <c r="F127" s="28"/>
      <c r="G127" s="28"/>
      <c r="H127" s="28"/>
    </row>
    <row r="128" spans="1:12" x14ac:dyDescent="0.75">
      <c r="A128" s="40" t="s">
        <v>144</v>
      </c>
      <c r="B128" s="1" t="s">
        <v>158</v>
      </c>
      <c r="E128" s="28"/>
      <c r="F128" s="28"/>
      <c r="G128" s="28"/>
      <c r="H128" s="28"/>
    </row>
    <row r="129" spans="1:8" x14ac:dyDescent="0.75">
      <c r="A129" s="40" t="s">
        <v>145</v>
      </c>
      <c r="B129" s="1" t="s">
        <v>159</v>
      </c>
      <c r="E129" s="28"/>
      <c r="F129" s="28"/>
      <c r="G129" s="28"/>
      <c r="H129" s="28"/>
    </row>
    <row r="130" spans="1:8" x14ac:dyDescent="0.75">
      <c r="A130" s="40" t="s">
        <v>146</v>
      </c>
      <c r="B130" s="1" t="s">
        <v>160</v>
      </c>
      <c r="E130" s="28"/>
      <c r="F130" s="28"/>
      <c r="G130" s="28"/>
      <c r="H130" s="28"/>
    </row>
    <row r="131" spans="1:8" x14ac:dyDescent="0.75">
      <c r="A131" s="40" t="s">
        <v>147</v>
      </c>
      <c r="B131" s="1" t="s">
        <v>161</v>
      </c>
      <c r="E131" s="28"/>
      <c r="F131" s="28"/>
      <c r="G131" s="28"/>
      <c r="H131" s="28"/>
    </row>
    <row r="132" spans="1:8" x14ac:dyDescent="0.75">
      <c r="A132" s="40" t="s">
        <v>151</v>
      </c>
      <c r="B132" s="1" t="s">
        <v>162</v>
      </c>
      <c r="E132" s="28"/>
      <c r="F132" s="28"/>
      <c r="G132" s="28"/>
      <c r="H132" s="28"/>
    </row>
    <row r="133" spans="1:8" x14ac:dyDescent="0.75">
      <c r="A133" s="40" t="s">
        <v>152</v>
      </c>
      <c r="B133" s="1" t="s">
        <v>166</v>
      </c>
      <c r="E133" s="28"/>
      <c r="F133" s="28"/>
      <c r="G133" s="28"/>
      <c r="H133" s="28"/>
    </row>
    <row r="134" spans="1:8" x14ac:dyDescent="0.75">
      <c r="A134" s="40" t="s">
        <v>153</v>
      </c>
      <c r="B134" s="1" t="s">
        <v>163</v>
      </c>
      <c r="E134" s="28"/>
      <c r="F134" s="28"/>
      <c r="G134" s="28"/>
      <c r="H134" s="28"/>
    </row>
    <row r="135" spans="1:8" x14ac:dyDescent="0.75">
      <c r="A135" s="40" t="s">
        <v>149</v>
      </c>
      <c r="B135" s="1" t="s">
        <v>164</v>
      </c>
      <c r="E135" s="28"/>
      <c r="F135" s="28"/>
      <c r="G135" s="28"/>
      <c r="H135" s="28"/>
    </row>
    <row r="136" spans="1:8" x14ac:dyDescent="0.75">
      <c r="A136" s="40" t="s">
        <v>154</v>
      </c>
      <c r="B136" s="1" t="s">
        <v>165</v>
      </c>
      <c r="E136" s="28"/>
      <c r="F136" s="28"/>
      <c r="G136" s="28"/>
      <c r="H136" s="28"/>
    </row>
    <row r="137" spans="1:8" x14ac:dyDescent="0.75">
      <c r="A137" s="40" t="s">
        <v>150</v>
      </c>
      <c r="B137" s="1" t="s">
        <v>167</v>
      </c>
      <c r="E137" s="28"/>
      <c r="F137" s="28"/>
      <c r="G137" s="28"/>
      <c r="H137" s="28"/>
    </row>
    <row r="138" spans="1:8" x14ac:dyDescent="0.75">
      <c r="A138" s="40" t="s">
        <v>148</v>
      </c>
      <c r="B138" s="1" t="s">
        <v>168</v>
      </c>
      <c r="E138" s="28"/>
      <c r="F138" s="28"/>
      <c r="G138" s="28"/>
      <c r="H138" s="28"/>
    </row>
    <row r="139" spans="1:8" x14ac:dyDescent="0.75">
      <c r="A139" s="40" t="s">
        <v>155</v>
      </c>
      <c r="B139" s="1" t="s">
        <v>169</v>
      </c>
      <c r="E139" s="28"/>
      <c r="F139" s="28"/>
      <c r="G139" s="28"/>
      <c r="H139" s="28"/>
    </row>
    <row r="140" spans="1:8" x14ac:dyDescent="0.75">
      <c r="A140" s="40" t="s">
        <v>156</v>
      </c>
      <c r="B140" s="1" t="s">
        <v>170</v>
      </c>
      <c r="E140" s="28"/>
      <c r="F140" s="28"/>
      <c r="G140" s="28"/>
      <c r="H140" s="28"/>
    </row>
    <row r="141" spans="1:8" x14ac:dyDescent="0.75">
      <c r="A141" s="40"/>
      <c r="E141" s="28"/>
      <c r="F141" s="28"/>
      <c r="G141" s="28"/>
      <c r="H141" s="28"/>
    </row>
    <row r="142" spans="1:8" x14ac:dyDescent="0.75">
      <c r="A142" s="12" t="s">
        <v>110</v>
      </c>
    </row>
    <row r="143" spans="1:8" x14ac:dyDescent="0.75">
      <c r="C143" s="12" t="s">
        <v>111</v>
      </c>
      <c r="D143" s="3">
        <v>20000</v>
      </c>
    </row>
    <row r="144" spans="1:8" x14ac:dyDescent="0.75">
      <c r="C144" s="12" t="s">
        <v>112</v>
      </c>
      <c r="D144" s="3">
        <v>5400</v>
      </c>
    </row>
    <row r="145" spans="1:4" x14ac:dyDescent="0.75">
      <c r="C145" s="12" t="s">
        <v>113</v>
      </c>
      <c r="D145" s="3">
        <v>5500</v>
      </c>
    </row>
    <row r="146" spans="1:4" x14ac:dyDescent="0.75">
      <c r="C146" s="12" t="s">
        <v>114</v>
      </c>
      <c r="D146" s="3">
        <v>11000</v>
      </c>
    </row>
    <row r="147" spans="1:4" x14ac:dyDescent="0.75">
      <c r="C147" s="12" t="s">
        <v>115</v>
      </c>
      <c r="D147" s="25">
        <v>5000</v>
      </c>
    </row>
    <row r="149" spans="1:4" x14ac:dyDescent="0.75">
      <c r="C149" s="12" t="s">
        <v>116</v>
      </c>
      <c r="D149" s="3">
        <f>SUM(D143:D148)</f>
        <v>46900</v>
      </c>
    </row>
    <row r="151" spans="1:4" x14ac:dyDescent="0.75">
      <c r="A151" s="12" t="s">
        <v>118</v>
      </c>
      <c r="D151" s="3">
        <v>42000</v>
      </c>
    </row>
    <row r="152" spans="1:4" x14ac:dyDescent="0.75">
      <c r="A152" s="12" t="s">
        <v>119</v>
      </c>
      <c r="D152" s="25">
        <v>42000</v>
      </c>
    </row>
    <row r="154" spans="1:4" x14ac:dyDescent="0.75">
      <c r="C154" s="12" t="s">
        <v>120</v>
      </c>
      <c r="D154" s="3">
        <f>SUM(D149:D152)</f>
        <v>130900</v>
      </c>
    </row>
    <row r="156" spans="1:4" x14ac:dyDescent="0.75">
      <c r="A156" s="12" t="s">
        <v>171</v>
      </c>
      <c r="D156" s="3">
        <v>450000</v>
      </c>
    </row>
  </sheetData>
  <mergeCells count="1">
    <mergeCell ref="B123:J123"/>
  </mergeCells>
  <phoneticPr fontId="6" type="noConversion"/>
  <pageMargins left="0.34" right="0.7" top="0.75" bottom="0.33" header="0.1" footer="0.17"/>
  <pageSetup orientation="landscape" r:id="rId1"/>
  <headerFooter>
    <oddHeader>&amp;L&amp;"Arial,Bold"&amp;8 12:09 PM
&amp;"Arial,Bold"&amp;8 05/16/22
&amp;"Arial,Bold"&amp;8 Accrual Basis&amp;C&amp;"Arial,Bold"&amp;12 Habitat for Humanity of Catawba Valley
&amp;"Arial,Bold"&amp;14 Profit &amp;&amp; Loss Prev Year Comparison
&amp;"Arial,Bold"&amp;10 July 2021 through April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2</xdr:col>
                <xdr:colOff>495300</xdr:colOff>
                <xdr:row>2</xdr:row>
                <xdr:rowOff>41275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2</xdr:col>
                <xdr:colOff>495300</xdr:colOff>
                <xdr:row>2</xdr:row>
                <xdr:rowOff>41275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Brown</dc:creator>
  <cp:lastModifiedBy>Jenna Ross</cp:lastModifiedBy>
  <cp:lastPrinted>2022-06-15T14:55:26Z</cp:lastPrinted>
  <dcterms:created xsi:type="dcterms:W3CDTF">2022-05-16T16:09:37Z</dcterms:created>
  <dcterms:modified xsi:type="dcterms:W3CDTF">2022-07-22T17:22:33Z</dcterms:modified>
</cp:coreProperties>
</file>